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/>
  <mc:AlternateContent xmlns:mc="http://schemas.openxmlformats.org/markup-compatibility/2006">
    <mc:Choice Requires="x15">
      <x15ac:absPath xmlns:x15ac="http://schemas.microsoft.com/office/spreadsheetml/2010/11/ac" url="/Users/frankparis/Documents/DOQS/DOQS downloads/"/>
    </mc:Choice>
  </mc:AlternateContent>
  <bookViews>
    <workbookView xWindow="620" yWindow="1420" windowWidth="26180" windowHeight="17640" firstSheet="1" activeTab="1"/>
  </bookViews>
  <sheets>
    <sheet name="UnderTheHood" sheetId="2" state="hidden" r:id="rId1"/>
    <sheet name="GAGERR" sheetId="1" r:id="rId2"/>
  </sheets>
  <externalReferences>
    <externalReference r:id="rId3"/>
  </externalReferences>
  <definedNames>
    <definedName name="A_ALCL">OFFSET(GAGERR!$AD$115,0,0,COUNT((GAGERR!$S$115:$S$124))+1)</definedName>
    <definedName name="A_AUCL">OFFSET(GAGERR!$AC$115,0,0,COUNT((GAGERR!$S$115:$S$124))+1)</definedName>
    <definedName name="A_Ave">OFFSET(GAGERR!$Y$115,0,0,COUNT((GAGERR!$Y$115:$Y$124)))</definedName>
    <definedName name="A_Range">OFFSET(GAGERR!$S$115,0,0,COUNT((GAGERR!$S$115:$S$124)))</definedName>
    <definedName name="A_Rbar">OFFSET(GAGERR!$V$115,0,0,COUNT((GAGERR!$S$115:$S$124))+1)</definedName>
    <definedName name="A_RUCL">OFFSET(GAGERR!$W$115,0,0,COUNT((GAGERR!$S$115:$S$124))+1)</definedName>
    <definedName name="A_Xbar">OFFSET(GAGERR!$AB$115,0,0,COUNT((GAGERR!$S$115:$S$124))+1)</definedName>
    <definedName name="Ax_Range">OFFSET(GAGERR!$R$115,0,0,COUNT(GAGERR!$S$115:$S$124)),GAGERR!$R$146</definedName>
    <definedName name="B_ALCL">OFFSET(GAGERR!$AD$125,0,0,COUNT((GAGERR!$T$125:$T$134))+1)</definedName>
    <definedName name="B_AUCL">OFFSET(GAGERR!$AC$125,0,0,COUNT((GAGERR!$T$125:$T$134))+1)</definedName>
    <definedName name="B_Ave">OFFSET(GAGERR!$Z$115,9-COUNT(GAGERR!$Y$115:$Y$124),0,COUNT(GAGERR!$Y$115:$Y$124)+COUNT(GAGERR!$Z$125:$Z$134)+1)</definedName>
    <definedName name="B_Range">OFFSET(GAGERR!$T$115,9-COUNT(GAGERR!$S$115:$S$124),0,COUNT(GAGERR!$S$115:$S$124)+COUNT(GAGERR!$T$125:$T$134)+1)</definedName>
    <definedName name="B_Rbar">OFFSET(GAGERR!$V$125,0,0,COUNT((GAGERR!$T$125:$T$134))+1)</definedName>
    <definedName name="B_RUCL">OFFSET(GAGERR!$W$125,0,0,COUNT((GAGERR!$T$125:$T$134))+1)</definedName>
    <definedName name="B_Xbar">OFFSET(GAGERR!$AB$125,0,0,COUNT((GAGERR!$T$125:$T$134))+1)</definedName>
    <definedName name="Bx_Range">IF(ISNUMBER(GAGERR!$T$125),OFFSET(GAGERR!$R$125,0,0,COUNT(GAGERR!$T$125:$T$134)),GAGERR!$R$147),GAGERR!$R$146</definedName>
    <definedName name="C_ALCL">OFFSET(GAGERR!$AD$135,0,0,COUNT((GAGERR!$U$135:$U$144))+1)</definedName>
    <definedName name="C_AUCL">OFFSET(GAGERR!$AC$135,0,0,COUNT((GAGERR!$U$135:$U$144))+1)</definedName>
    <definedName name="C_Ave">OFFSET(GAGERR!$AA$115,18-COUNT(GAGERR!$Y$115:$Y$124)-COUNT(GAGERR!$Z$125:$Z$134),0,COUNT(GAGERR!$Y$115:$Y$124)+COUNT(GAGERR!$Z$125:$Z$135)+COUNT(GAGERR!$AA$135:$AA$144)+2)</definedName>
    <definedName name="C_Range">OFFSET(GAGERR!$U$115,18-COUNT(GAGERR!$S$115:$S$124)-COUNT(GAGERR!$T$125:$T$134),0,COUNT(GAGERR!$S$115:$S$124)+COUNT(GAGERR!$T$125:$T$135)+COUNT(GAGERR!$U$135:$U$144)+2)</definedName>
    <definedName name="C_Rbar">OFFSET(GAGERR!$V$135,0,0,COUNT((GAGERR!$U$135:$U$144))+1)</definedName>
    <definedName name="C_RUCL">OFFSET(GAGERR!$W$135,0,0,COUNT((GAGERR!$S$135:$U$144))+1)</definedName>
    <definedName name="C_Xbar">OFFSET(GAGERR!$AB$135,0,0,COUNT((GAGERR!$U$135:$U$144))+1)</definedName>
    <definedName name="Cx_Range">IF(ISNUMBER(GAGERR!$U$135),OFFSET(GAGERR!$R$135,0,0,COUNT(GAGERR!$U$135:$U$144)),GAGERR!$R$148)</definedName>
    <definedName name="_xlnm.Print_Area" localSheetId="1">GAGERR!$B$14:$AS$109</definedName>
    <definedName name="X_Range">[0]!A_xRange,[0]!B_xRange,[1]!C_xRange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B14" i="2"/>
  <c r="B20" i="2"/>
  <c r="B21" i="2"/>
  <c r="E15" i="2"/>
  <c r="B22" i="2"/>
  <c r="B24" i="2"/>
  <c r="C40" i="1"/>
  <c r="D34" i="1"/>
  <c r="C20" i="2"/>
  <c r="C21" i="2"/>
  <c r="C22" i="2"/>
  <c r="C24" i="2"/>
  <c r="D40" i="1"/>
  <c r="E34" i="1"/>
  <c r="D20" i="2"/>
  <c r="D21" i="2"/>
  <c r="D22" i="2"/>
  <c r="D24" i="2"/>
  <c r="E40" i="1"/>
  <c r="F34" i="1"/>
  <c r="E20" i="2"/>
  <c r="E21" i="2"/>
  <c r="E22" i="2"/>
  <c r="E24" i="2"/>
  <c r="F40" i="1"/>
  <c r="G34" i="1"/>
  <c r="F20" i="2"/>
  <c r="F21" i="2"/>
  <c r="F22" i="2"/>
  <c r="F24" i="2"/>
  <c r="G40" i="1"/>
  <c r="H34" i="1"/>
  <c r="G20" i="2"/>
  <c r="G21" i="2"/>
  <c r="G22" i="2"/>
  <c r="G24" i="2"/>
  <c r="H40" i="1"/>
  <c r="I34" i="1"/>
  <c r="H20" i="2"/>
  <c r="H21" i="2"/>
  <c r="H22" i="2"/>
  <c r="H24" i="2"/>
  <c r="I40" i="1"/>
  <c r="J34" i="1"/>
  <c r="I20" i="2"/>
  <c r="I21" i="2"/>
  <c r="I22" i="2"/>
  <c r="I24" i="2"/>
  <c r="J40" i="1"/>
  <c r="K34" i="1"/>
  <c r="J20" i="2"/>
  <c r="J21" i="2"/>
  <c r="J22" i="2"/>
  <c r="J24" i="2"/>
  <c r="K40" i="1"/>
  <c r="L34" i="1"/>
  <c r="K20" i="2"/>
  <c r="K21" i="2"/>
  <c r="K22" i="2"/>
  <c r="K24" i="2"/>
  <c r="L40" i="1"/>
  <c r="N40" i="1"/>
  <c r="C57" i="1"/>
  <c r="B26" i="2"/>
  <c r="B27" i="2"/>
  <c r="B28" i="2"/>
  <c r="B30" i="2"/>
  <c r="C46" i="1"/>
  <c r="C26" i="2"/>
  <c r="C27" i="2"/>
  <c r="C28" i="2"/>
  <c r="C30" i="2"/>
  <c r="D46" i="1"/>
  <c r="D26" i="2"/>
  <c r="D27" i="2"/>
  <c r="D28" i="2"/>
  <c r="D30" i="2"/>
  <c r="E46" i="1"/>
  <c r="E26" i="2"/>
  <c r="E27" i="2"/>
  <c r="E28" i="2"/>
  <c r="E30" i="2"/>
  <c r="F46" i="1"/>
  <c r="F26" i="2"/>
  <c r="F27" i="2"/>
  <c r="F28" i="2"/>
  <c r="F30" i="2"/>
  <c r="G46" i="1"/>
  <c r="G26" i="2"/>
  <c r="G27" i="2"/>
  <c r="G28" i="2"/>
  <c r="G30" i="2"/>
  <c r="H46" i="1"/>
  <c r="H26" i="2"/>
  <c r="H27" i="2"/>
  <c r="H28" i="2"/>
  <c r="H30" i="2"/>
  <c r="I46" i="1"/>
  <c r="I26" i="2"/>
  <c r="I27" i="2"/>
  <c r="I28" i="2"/>
  <c r="I30" i="2"/>
  <c r="J46" i="1"/>
  <c r="J26" i="2"/>
  <c r="J27" i="2"/>
  <c r="J28" i="2"/>
  <c r="J30" i="2"/>
  <c r="K46" i="1"/>
  <c r="K26" i="2"/>
  <c r="K27" i="2"/>
  <c r="K28" i="2"/>
  <c r="K30" i="2"/>
  <c r="L46" i="1"/>
  <c r="N46" i="1"/>
  <c r="C58" i="1"/>
  <c r="E14" i="2"/>
  <c r="B32" i="2"/>
  <c r="B33" i="2"/>
  <c r="B34" i="2"/>
  <c r="B36" i="2"/>
  <c r="C52" i="1"/>
  <c r="C32" i="2"/>
  <c r="C33" i="2"/>
  <c r="C34" i="2"/>
  <c r="C36" i="2"/>
  <c r="D52" i="1"/>
  <c r="D32" i="2"/>
  <c r="D33" i="2"/>
  <c r="D34" i="2"/>
  <c r="D36" i="2"/>
  <c r="E52" i="1"/>
  <c r="E32" i="2"/>
  <c r="E33" i="2"/>
  <c r="E34" i="2"/>
  <c r="E36" i="2"/>
  <c r="F52" i="1"/>
  <c r="F32" i="2"/>
  <c r="F33" i="2"/>
  <c r="F34" i="2"/>
  <c r="F36" i="2"/>
  <c r="G52" i="1"/>
  <c r="G32" i="2"/>
  <c r="G33" i="2"/>
  <c r="G34" i="2"/>
  <c r="G36" i="2"/>
  <c r="H52" i="1"/>
  <c r="H32" i="2"/>
  <c r="H33" i="2"/>
  <c r="H34" i="2"/>
  <c r="H36" i="2"/>
  <c r="I52" i="1"/>
  <c r="I32" i="2"/>
  <c r="I33" i="2"/>
  <c r="I34" i="2"/>
  <c r="I36" i="2"/>
  <c r="J52" i="1"/>
  <c r="J32" i="2"/>
  <c r="J33" i="2"/>
  <c r="J34" i="2"/>
  <c r="J36" i="2"/>
  <c r="K52" i="1"/>
  <c r="K32" i="2"/>
  <c r="K33" i="2"/>
  <c r="K34" i="2"/>
  <c r="K36" i="2"/>
  <c r="L52" i="1"/>
  <c r="N52" i="1"/>
  <c r="C59" i="1"/>
  <c r="C60" i="1"/>
  <c r="C61" i="1"/>
  <c r="G82" i="1"/>
  <c r="C83" i="1"/>
  <c r="M20" i="2"/>
  <c r="N36" i="1"/>
  <c r="M21" i="2"/>
  <c r="N37" i="1"/>
  <c r="M22" i="2"/>
  <c r="N38" i="1"/>
  <c r="N39" i="1"/>
  <c r="M26" i="2"/>
  <c r="N42" i="1"/>
  <c r="M27" i="2"/>
  <c r="N43" i="1"/>
  <c r="M28" i="2"/>
  <c r="N44" i="1"/>
  <c r="N45" i="1"/>
  <c r="M32" i="2"/>
  <c r="N48" i="1"/>
  <c r="M33" i="2"/>
  <c r="N49" i="1"/>
  <c r="M34" i="2"/>
  <c r="N50" i="1"/>
  <c r="N51" i="1"/>
  <c r="C66" i="1"/>
  <c r="C67" i="1"/>
  <c r="C68" i="1"/>
  <c r="G89" i="1"/>
  <c r="N68" i="1"/>
  <c r="N66" i="1"/>
  <c r="C89" i="1"/>
  <c r="C96" i="1"/>
  <c r="B23" i="2"/>
  <c r="C39" i="1"/>
  <c r="B29" i="2"/>
  <c r="C45" i="1"/>
  <c r="B35" i="2"/>
  <c r="C51" i="1"/>
  <c r="C54" i="1"/>
  <c r="C23" i="2"/>
  <c r="D39" i="1"/>
  <c r="C29" i="2"/>
  <c r="D45" i="1"/>
  <c r="C35" i="2"/>
  <c r="D51" i="1"/>
  <c r="D54" i="1"/>
  <c r="D23" i="2"/>
  <c r="E39" i="1"/>
  <c r="D29" i="2"/>
  <c r="E45" i="1"/>
  <c r="D35" i="2"/>
  <c r="E51" i="1"/>
  <c r="E54" i="1"/>
  <c r="E23" i="2"/>
  <c r="F39" i="1"/>
  <c r="E29" i="2"/>
  <c r="F45" i="1"/>
  <c r="E35" i="2"/>
  <c r="F51" i="1"/>
  <c r="F54" i="1"/>
  <c r="F23" i="2"/>
  <c r="G39" i="1"/>
  <c r="F29" i="2"/>
  <c r="G45" i="1"/>
  <c r="F35" i="2"/>
  <c r="G51" i="1"/>
  <c r="G54" i="1"/>
  <c r="G23" i="2"/>
  <c r="H39" i="1"/>
  <c r="G29" i="2"/>
  <c r="H45" i="1"/>
  <c r="G35" i="2"/>
  <c r="H51" i="1"/>
  <c r="H54" i="1"/>
  <c r="H23" i="2"/>
  <c r="I39" i="1"/>
  <c r="H29" i="2"/>
  <c r="I45" i="1"/>
  <c r="H35" i="2"/>
  <c r="I51" i="1"/>
  <c r="I54" i="1"/>
  <c r="I23" i="2"/>
  <c r="J39" i="1"/>
  <c r="I29" i="2"/>
  <c r="J45" i="1"/>
  <c r="I35" i="2"/>
  <c r="J51" i="1"/>
  <c r="J54" i="1"/>
  <c r="J23" i="2"/>
  <c r="K39" i="1"/>
  <c r="J29" i="2"/>
  <c r="K45" i="1"/>
  <c r="J35" i="2"/>
  <c r="K51" i="1"/>
  <c r="K54" i="1"/>
  <c r="K23" i="2"/>
  <c r="L39" i="1"/>
  <c r="K29" i="2"/>
  <c r="L45" i="1"/>
  <c r="K35" i="2"/>
  <c r="L51" i="1"/>
  <c r="L54" i="1"/>
  <c r="N54" i="1"/>
  <c r="E102" i="1"/>
  <c r="F102" i="1"/>
  <c r="C102" i="1"/>
  <c r="C108" i="1"/>
  <c r="E108" i="1"/>
  <c r="E96" i="1"/>
  <c r="E90" i="1"/>
  <c r="E83" i="1"/>
  <c r="K72" i="1"/>
  <c r="K70" i="1"/>
  <c r="B50" i="1"/>
  <c r="B44" i="1"/>
  <c r="B38" i="1"/>
  <c r="E89" i="1"/>
  <c r="E82" i="1"/>
  <c r="J64" i="1"/>
  <c r="J62" i="1"/>
  <c r="C72" i="1"/>
  <c r="K76" i="1"/>
  <c r="K74" i="1"/>
  <c r="C70" i="1"/>
  <c r="J58" i="1"/>
  <c r="AA144" i="1"/>
  <c r="AA141" i="1"/>
  <c r="AA143" i="1"/>
  <c r="U144" i="1"/>
  <c r="S122" i="1"/>
  <c r="S121" i="1"/>
  <c r="T132" i="1"/>
  <c r="T131" i="1"/>
  <c r="Z134" i="1"/>
  <c r="T133" i="1"/>
  <c r="AA138" i="1"/>
  <c r="AA139" i="1"/>
  <c r="U141" i="1"/>
  <c r="AA142" i="1"/>
  <c r="U142" i="1"/>
  <c r="T134" i="1"/>
  <c r="Z133" i="1"/>
  <c r="Z131" i="1"/>
  <c r="Z132" i="1"/>
  <c r="Y121" i="1"/>
  <c r="S123" i="1"/>
  <c r="Y122" i="1"/>
  <c r="S124" i="1"/>
  <c r="AA137" i="1"/>
  <c r="AA136" i="1"/>
  <c r="S118" i="1"/>
  <c r="AA140" i="1"/>
  <c r="U143" i="1"/>
  <c r="AA135" i="1"/>
  <c r="T128" i="1"/>
  <c r="S119" i="1"/>
  <c r="T127" i="1"/>
  <c r="T126" i="1"/>
  <c r="T129" i="1"/>
  <c r="U137" i="1"/>
  <c r="T130" i="1"/>
  <c r="S120" i="1"/>
  <c r="S116" i="1"/>
  <c r="U139" i="1"/>
  <c r="U138" i="1"/>
  <c r="U140" i="1"/>
  <c r="U136" i="1"/>
  <c r="H38" i="2"/>
  <c r="J38" i="2"/>
  <c r="I38" i="2"/>
  <c r="Y124" i="1"/>
  <c r="Y123" i="1"/>
  <c r="K38" i="2"/>
  <c r="U135" i="1"/>
  <c r="C38" i="2"/>
  <c r="Z129" i="1"/>
  <c r="Z130" i="1"/>
  <c r="Z126" i="1"/>
  <c r="Y120" i="1"/>
  <c r="Z128" i="1"/>
  <c r="Z125" i="1"/>
  <c r="Z127" i="1"/>
  <c r="S117" i="1"/>
  <c r="D38" i="2"/>
  <c r="G38" i="2"/>
  <c r="N23" i="2"/>
  <c r="M30" i="2"/>
  <c r="M36" i="2"/>
  <c r="F38" i="2"/>
  <c r="Y115" i="1"/>
  <c r="M23" i="2"/>
  <c r="M29" i="2"/>
  <c r="Y117" i="1"/>
  <c r="M24" i="2"/>
  <c r="E38" i="2"/>
  <c r="M35" i="2"/>
  <c r="B38" i="2"/>
  <c r="Y116" i="1"/>
  <c r="S115" i="1"/>
  <c r="T125" i="1"/>
  <c r="Y118" i="1"/>
  <c r="Y119" i="1"/>
  <c r="N53" i="1"/>
  <c r="AB136" i="1"/>
  <c r="N102" i="1"/>
  <c r="H64" i="1"/>
  <c r="AB119" i="1"/>
  <c r="AB129" i="1"/>
  <c r="AB132" i="1"/>
  <c r="H62" i="1"/>
  <c r="AB116" i="1"/>
  <c r="AB122" i="1"/>
  <c r="AB139" i="1"/>
  <c r="AB143" i="1"/>
  <c r="AB141" i="1"/>
  <c r="AB138" i="1"/>
  <c r="AB144" i="1"/>
  <c r="AB135" i="1"/>
  <c r="AB134" i="1"/>
  <c r="AB121" i="1"/>
  <c r="AB137" i="1"/>
  <c r="AB123" i="1"/>
  <c r="AB126" i="1"/>
  <c r="AB124" i="1"/>
  <c r="AB140" i="1"/>
  <c r="AB142" i="1"/>
  <c r="AB125" i="1"/>
  <c r="AB131" i="1"/>
  <c r="AB128" i="1"/>
  <c r="AB127" i="1"/>
  <c r="AB130" i="1"/>
  <c r="AB117" i="1"/>
  <c r="AB133" i="1"/>
  <c r="AB115" i="1"/>
  <c r="AB118" i="1"/>
  <c r="AB120" i="1"/>
  <c r="V144" i="1"/>
  <c r="V140" i="1"/>
  <c r="V136" i="1"/>
  <c r="V132" i="1"/>
  <c r="V128" i="1"/>
  <c r="V124" i="1"/>
  <c r="V120" i="1"/>
  <c r="V116" i="1"/>
  <c r="V142" i="1"/>
  <c r="V138" i="1"/>
  <c r="V130" i="1"/>
  <c r="V122" i="1"/>
  <c r="H58" i="1"/>
  <c r="L58" i="1"/>
  <c r="I62" i="1"/>
  <c r="L62" i="1"/>
  <c r="V143" i="1"/>
  <c r="V139" i="1"/>
  <c r="V135" i="1"/>
  <c r="V127" i="1"/>
  <c r="V123" i="1"/>
  <c r="V119" i="1"/>
  <c r="V141" i="1"/>
  <c r="V137" i="1"/>
  <c r="V133" i="1"/>
  <c r="V129" i="1"/>
  <c r="V125" i="1"/>
  <c r="V121" i="1"/>
  <c r="V117" i="1"/>
  <c r="V134" i="1"/>
  <c r="V126" i="1"/>
  <c r="V118" i="1"/>
  <c r="I64" i="1"/>
  <c r="N90" i="1"/>
  <c r="V131" i="1"/>
  <c r="V115" i="1"/>
  <c r="L64" i="1"/>
  <c r="AD123" i="1"/>
  <c r="AC115" i="1"/>
  <c r="AC119" i="1"/>
  <c r="AC123" i="1"/>
  <c r="AC127" i="1"/>
  <c r="AC131" i="1"/>
  <c r="AC135" i="1"/>
  <c r="AC139" i="1"/>
  <c r="AC143" i="1"/>
  <c r="AC117" i="1"/>
  <c r="AC125" i="1"/>
  <c r="AC133" i="1"/>
  <c r="AC141" i="1"/>
  <c r="AC116" i="1"/>
  <c r="AC124" i="1"/>
  <c r="AC132" i="1"/>
  <c r="AC140" i="1"/>
  <c r="AC118" i="1"/>
  <c r="AC122" i="1"/>
  <c r="AC126" i="1"/>
  <c r="AC130" i="1"/>
  <c r="AC134" i="1"/>
  <c r="AC138" i="1"/>
  <c r="AC142" i="1"/>
  <c r="AC121" i="1"/>
  <c r="AC129" i="1"/>
  <c r="AC137" i="1"/>
  <c r="AC120" i="1"/>
  <c r="AC128" i="1"/>
  <c r="AC136" i="1"/>
  <c r="AC144" i="1"/>
  <c r="N96" i="1"/>
  <c r="N83" i="1"/>
  <c r="W115" i="1"/>
  <c r="W119" i="1"/>
  <c r="W123" i="1"/>
  <c r="W127" i="1"/>
  <c r="W131" i="1"/>
  <c r="W135" i="1"/>
  <c r="W139" i="1"/>
  <c r="W143" i="1"/>
  <c r="W121" i="1"/>
  <c r="W129" i="1"/>
  <c r="W137" i="1"/>
  <c r="W116" i="1"/>
  <c r="W124" i="1"/>
  <c r="W132" i="1"/>
  <c r="W140" i="1"/>
  <c r="W118" i="1"/>
  <c r="W122" i="1"/>
  <c r="W126" i="1"/>
  <c r="W130" i="1"/>
  <c r="W134" i="1"/>
  <c r="W138" i="1"/>
  <c r="W142" i="1"/>
  <c r="W117" i="1"/>
  <c r="W125" i="1"/>
  <c r="W133" i="1"/>
  <c r="W141" i="1"/>
  <c r="W120" i="1"/>
  <c r="W128" i="1"/>
  <c r="W136" i="1"/>
  <c r="W144" i="1"/>
  <c r="AD140" i="1"/>
  <c r="AD130" i="1"/>
  <c r="AD127" i="1"/>
  <c r="AD121" i="1"/>
  <c r="AD143" i="1"/>
  <c r="AD128" i="1"/>
  <c r="AD141" i="1"/>
  <c r="AD136" i="1"/>
  <c r="AD129" i="1"/>
  <c r="AD134" i="1"/>
  <c r="AD118" i="1"/>
  <c r="AD116" i="1"/>
  <c r="AD117" i="1"/>
  <c r="AD131" i="1"/>
  <c r="AD115" i="1"/>
  <c r="AD144" i="1"/>
  <c r="AD137" i="1"/>
  <c r="AD138" i="1"/>
  <c r="AD122" i="1"/>
  <c r="AD124" i="1"/>
  <c r="AD125" i="1"/>
  <c r="AD135" i="1"/>
  <c r="AD119" i="1"/>
  <c r="AD120" i="1"/>
  <c r="AD142" i="1"/>
  <c r="AD126" i="1"/>
  <c r="AD132" i="1"/>
  <c r="AD133" i="1"/>
  <c r="AD139" i="1"/>
  <c r="L100" i="1"/>
  <c r="L81" i="1"/>
  <c r="L88" i="1"/>
  <c r="L94" i="1"/>
</calcChain>
</file>

<file path=xl/sharedStrings.xml><?xml version="1.0" encoding="utf-8"?>
<sst xmlns="http://schemas.openxmlformats.org/spreadsheetml/2006/main" count="217" uniqueCount="135">
  <si>
    <t>DATE</t>
  </si>
  <si>
    <t>Appraiser/</t>
  </si>
  <si>
    <t>Trail #</t>
  </si>
  <si>
    <t>AVG</t>
  </si>
  <si>
    <t>A</t>
  </si>
  <si>
    <t>AVG'S</t>
  </si>
  <si>
    <t>Range</t>
  </si>
  <si>
    <t>B</t>
  </si>
  <si>
    <t>Part</t>
  </si>
  <si>
    <t>X</t>
  </si>
  <si>
    <t>Average</t>
  </si>
  <si>
    <r>
      <t>D</t>
    </r>
    <r>
      <rPr>
        <b/>
        <vertAlign val="subscript"/>
        <sz val="8"/>
        <rFont val="Arial"/>
        <family val="2"/>
      </rPr>
      <t>4</t>
    </r>
  </si>
  <si>
    <r>
      <t>(D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>)</t>
    </r>
  </si>
  <si>
    <t>=</t>
  </si>
  <si>
    <t>SUM</t>
  </si>
  <si>
    <t>Max. X</t>
  </si>
  <si>
    <t>Min. X</t>
  </si>
  <si>
    <t>% PV</t>
  </si>
  <si>
    <t xml:space="preserve"> </t>
  </si>
  <si>
    <t>SAMPLE SIZE</t>
  </si>
  <si>
    <t>Xa</t>
  </si>
  <si>
    <t>Ra</t>
  </si>
  <si>
    <t>Xb</t>
  </si>
  <si>
    <t>Rb</t>
  </si>
  <si>
    <r>
      <t>R</t>
    </r>
    <r>
      <rPr>
        <b/>
        <vertAlign val="subscript"/>
        <sz val="8"/>
        <rFont val="Arial"/>
        <family val="2"/>
      </rPr>
      <t>p</t>
    </r>
    <r>
      <rPr>
        <b/>
        <sz val="8"/>
        <rFont val="Arial"/>
        <family val="2"/>
      </rPr>
      <t xml:space="preserve"> </t>
    </r>
  </si>
  <si>
    <t>MEASUREMENT UNIT ANALYSIS</t>
  </si>
  <si>
    <t xml:space="preserve">PV = </t>
  </si>
  <si>
    <t>Rp x K3</t>
  </si>
  <si>
    <t>K3</t>
  </si>
  <si>
    <t>% TOTAL VARIATION (TV)</t>
  </si>
  <si>
    <t xml:space="preserve">TV = </t>
  </si>
  <si>
    <t>% EV</t>
  </si>
  <si>
    <t>% AV</t>
  </si>
  <si>
    <t>100(AV/TV)</t>
  </si>
  <si>
    <t>100(PV/TV)</t>
  </si>
  <si>
    <t>Parts</t>
  </si>
  <si>
    <t>C</t>
  </si>
  <si>
    <t>Appraisers</t>
  </si>
  <si>
    <t>K2</t>
  </si>
  <si>
    <t xml:space="preserve">           APPRAISERS</t>
  </si>
  <si>
    <t xml:space="preserve">          TRIALS</t>
  </si>
  <si>
    <t>Trials</t>
  </si>
  <si>
    <t>K1</t>
  </si>
  <si>
    <t>Xc</t>
  </si>
  <si>
    <t>Rc</t>
  </si>
  <si>
    <t>REPEATABILITY - EQUIPMENT VARIATION (EV)</t>
  </si>
  <si>
    <t>REPRODUCIBILITY - APPRAISER VARIATION (AV)</t>
  </si>
  <si>
    <t>REPEATABILITY &amp; REPRODUCIBILITY (R&amp;R)</t>
  </si>
  <si>
    <t>PART VARIATION (PV)</t>
  </si>
  <si>
    <t>TOTAL VARIATION (TV)</t>
  </si>
  <si>
    <t>Xbar</t>
  </si>
  <si>
    <r>
      <t>A</t>
    </r>
    <r>
      <rPr>
        <b/>
        <vertAlign val="subscript"/>
        <sz val="8"/>
        <rFont val="Arial"/>
        <family val="2"/>
      </rPr>
      <t>2</t>
    </r>
  </si>
  <si>
    <r>
      <t>A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</si>
  <si>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UCL</t>
  </si>
  <si>
    <t>LCL</t>
  </si>
  <si>
    <t>Rbar</t>
  </si>
  <si>
    <t>Instructions:</t>
  </si>
  <si>
    <r>
      <t>R</t>
    </r>
    <r>
      <rPr>
        <b/>
        <vertAlign val="subscript"/>
        <sz val="8"/>
        <color indexed="62"/>
        <rFont val="Arial"/>
        <family val="2"/>
      </rPr>
      <t>p</t>
    </r>
    <r>
      <rPr>
        <b/>
        <sz val="8"/>
        <color indexed="62"/>
        <rFont val="Arial"/>
        <family val="2"/>
      </rPr>
      <t xml:space="preserve"> </t>
    </r>
  </si>
  <si>
    <t xml:space="preserve">    Note: Les résultats des mesures ne sont requis que pour les échantillons devant être mesurés, il se peut que des cellules oranges </t>
  </si>
  <si>
    <t xml:space="preserve">    doivent rester vides.</t>
  </si>
  <si>
    <t>3) Les résultats apparaissent dans les cellules bleues:</t>
  </si>
  <si>
    <t xml:space="preserve">4) Ajuster manuellement l'échelle sur le diagramme des moyennes afin de pouvoir clairement voir les variations </t>
  </si>
  <si>
    <t>entre les limites de contrôles.</t>
  </si>
  <si>
    <t>INSTRUMENT</t>
  </si>
  <si>
    <t>Type d'instrument</t>
  </si>
  <si>
    <t># d'instrument</t>
  </si>
  <si>
    <t>Taille échantillon</t>
  </si>
  <si>
    <t xml:space="preserve">     REPETABILITE &amp; REPRODUCTIBILITE</t>
  </si>
  <si>
    <t>CHARACTERISTIQUE</t>
  </si>
  <si>
    <t>SPECIFICATION</t>
  </si>
  <si>
    <t># du TEST</t>
  </si>
  <si>
    <t>Nbre d'opérateurs</t>
  </si>
  <si>
    <t>Nom opérateur B</t>
  </si>
  <si>
    <t>Nom opérateur C</t>
  </si>
  <si>
    <t>Nom opérateur A</t>
  </si>
  <si>
    <t># de l'essai</t>
  </si>
  <si>
    <t>Moyennes</t>
  </si>
  <si>
    <t>Etendues</t>
  </si>
  <si>
    <t>Variation étendue</t>
  </si>
  <si>
    <t># d'essais</t>
  </si>
  <si>
    <t>Tolérance =</t>
  </si>
  <si>
    <t>VARIABILITE TOTALE -  TOTAL VARIATION (TV)</t>
  </si>
  <si>
    <r>
      <t>Pourcent de la Tolérance</t>
    </r>
    <r>
      <rPr>
        <sz val="8"/>
        <rFont val="Arial"/>
        <family val="2"/>
      </rPr>
      <t>: 100(EV/Tol) =</t>
    </r>
  </si>
  <si>
    <t>PIECES</t>
  </si>
  <si>
    <t>MOYENNES</t>
  </si>
  <si>
    <t>DOQS.ch Switzerland</t>
  </si>
  <si>
    <t>REPETABILITE &amp; REPRODUTIBILITE (R&amp;R)</t>
  </si>
  <si>
    <t>VARIABILITE DES PIECES - PART VARIATION (PV)</t>
  </si>
  <si>
    <t>REPRODUCTIBILITE - APPRAISER VARIATION (AV)</t>
  </si>
  <si>
    <t>REPETABILITE - EQUIPMENT VARIATION (EV)</t>
  </si>
  <si>
    <t>Nbre d'essai</t>
  </si>
  <si>
    <t xml:space="preserve">Nbre d'opér. </t>
  </si>
  <si>
    <t>Opérateurs</t>
  </si>
  <si>
    <t>Micromètre</t>
  </si>
  <si>
    <t>Loic</t>
  </si>
  <si>
    <t>Nbre de répétitions</t>
  </si>
  <si>
    <t>Information: LCL est zero  en dessous de 8 répétitions</t>
  </si>
  <si>
    <t>Anthoine</t>
  </si>
  <si>
    <t>Julien</t>
  </si>
  <si>
    <t>Numéro du TEST</t>
  </si>
  <si>
    <t>Diamètre intérieur</t>
  </si>
  <si>
    <t>Résolution 0,002</t>
  </si>
  <si>
    <r>
      <t>LCS</t>
    </r>
    <r>
      <rPr>
        <b/>
        <vertAlign val="subscript"/>
        <sz val="8"/>
        <rFont val="Arial"/>
        <family val="2"/>
      </rPr>
      <t>R</t>
    </r>
  </si>
  <si>
    <r>
      <t>LCS</t>
    </r>
    <r>
      <rPr>
        <b/>
        <vertAlign val="subscript"/>
        <sz val="8"/>
        <rFont val="Arial"/>
        <family val="2"/>
      </rPr>
      <t>X</t>
    </r>
  </si>
  <si>
    <r>
      <t>LCI</t>
    </r>
    <r>
      <rPr>
        <b/>
        <vertAlign val="subscript"/>
        <sz val="8"/>
        <rFont val="Arial"/>
        <family val="2"/>
      </rPr>
      <t>X</t>
    </r>
  </si>
  <si>
    <r>
      <rPr>
        <sz val="8"/>
        <rFont val="Calibri"/>
        <family val="2"/>
      </rPr>
      <t>√</t>
    </r>
    <r>
      <rPr>
        <sz val="8"/>
        <rFont val="Arial"/>
        <family val="2"/>
      </rPr>
      <t xml:space="preserve"> ((X DIFF X K2)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(EV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/NR))</t>
    </r>
  </si>
  <si>
    <r>
      <rPr>
        <sz val="8"/>
        <rFont val="Calibri"/>
        <family val="2"/>
      </rPr>
      <t>√</t>
    </r>
    <r>
      <rPr>
        <sz val="8"/>
        <rFont val="Arial"/>
        <family val="2"/>
      </rPr>
      <t>(EV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+ AV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</si>
  <si>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100(EV/TV)</t>
  </si>
  <si>
    <t>%</t>
  </si>
  <si>
    <t xml:space="preserve">EV (Répétabilité)= </t>
  </si>
  <si>
    <r>
      <t>R</t>
    </r>
    <r>
      <rPr>
        <vertAlign val="subscript"/>
        <sz val="8"/>
        <rFont val="Arial"/>
        <family val="2"/>
      </rPr>
      <t>doublebar</t>
    </r>
    <r>
      <rPr>
        <sz val="8"/>
        <rFont val="Arial"/>
        <family val="2"/>
      </rPr>
      <t xml:space="preserve"> X K1</t>
    </r>
  </si>
  <si>
    <t xml:space="preserve">AV (Reproductibilité) = </t>
  </si>
  <si>
    <t>Intervalle statistique de disperstion=99%</t>
  </si>
  <si>
    <t>X DIFF</t>
  </si>
  <si>
    <r>
      <t>R</t>
    </r>
    <r>
      <rPr>
        <b/>
        <vertAlign val="subscript"/>
        <sz val="10"/>
        <rFont val="Arial"/>
        <family val="2"/>
      </rPr>
      <t>doublebarre</t>
    </r>
  </si>
  <si>
    <t>Rdoublebarre     x</t>
  </si>
  <si>
    <t>Xbarre   +</t>
  </si>
  <si>
    <t>Xbarre   -</t>
  </si>
  <si>
    <t>( Rbarre  x</t>
  </si>
  <si>
    <t>1) Entrer les informations liées au système de mesures dans les cellules de couleur jaune:</t>
  </si>
  <si>
    <t>2) Entrer les mesures et spécifications dans les cellules de couleur orange:</t>
  </si>
  <si>
    <t>MAJ Frank</t>
  </si>
  <si>
    <r>
      <t>Pourcent de la Tolérance</t>
    </r>
    <r>
      <rPr>
        <sz val="8"/>
        <rFont val="Arial"/>
        <family val="2"/>
      </rPr>
      <t>: 100(AV/Tol) =</t>
    </r>
  </si>
  <si>
    <r>
      <t>Pourcent de la Tolérance</t>
    </r>
    <r>
      <rPr>
        <sz val="8"/>
        <rFont val="Arial"/>
        <family val="2"/>
      </rPr>
      <t>: 100(R&amp;R/Tol) =</t>
    </r>
  </si>
  <si>
    <r>
      <t>Pourcent de la Tolérance</t>
    </r>
    <r>
      <rPr>
        <sz val="8"/>
        <rFont val="Arial"/>
        <family val="2"/>
      </rPr>
      <t>: 100(PV/Tol) =</t>
    </r>
  </si>
  <si>
    <r>
      <t xml:space="preserve">ISD 99% = 5.15 x </t>
    </r>
    <r>
      <rPr>
        <b/>
        <sz val="8"/>
        <color rgb="FFFF0000"/>
        <rFont val="Calibri"/>
        <family val="2"/>
      </rPr>
      <t>σ</t>
    </r>
  </si>
  <si>
    <t>ANALYSE DU SYSTÈME DE MESURE ISO TS 16949</t>
  </si>
  <si>
    <r>
      <rPr>
        <sz val="8"/>
        <rFont val="Calibri"/>
        <family val="2"/>
      </rPr>
      <t>σ</t>
    </r>
    <r>
      <rPr>
        <sz val="8"/>
        <rFont val="Arial"/>
        <family val="2"/>
      </rPr>
      <t>EV=</t>
    </r>
  </si>
  <si>
    <r>
      <rPr>
        <sz val="8"/>
        <rFont val="Calibri"/>
        <family val="2"/>
      </rPr>
      <t>σAV</t>
    </r>
    <r>
      <rPr>
        <sz val="8"/>
        <rFont val="Arial"/>
        <family val="2"/>
      </rPr>
      <t>=</t>
    </r>
  </si>
  <si>
    <r>
      <rPr>
        <sz val="8"/>
        <rFont val="Calibri"/>
        <family val="2"/>
      </rPr>
      <t>σr&amp;R</t>
    </r>
    <r>
      <rPr>
        <sz val="8"/>
        <rFont val="Arial"/>
        <family val="2"/>
      </rPr>
      <t>=</t>
    </r>
  </si>
  <si>
    <t xml:space="preserve">r&amp;R = </t>
  </si>
  <si>
    <t>% r&amp;R</t>
  </si>
  <si>
    <r>
      <rPr>
        <sz val="8"/>
        <rFont val="Calibri"/>
        <family val="2"/>
      </rPr>
      <t>σTV</t>
    </r>
    <r>
      <rPr>
        <sz val="8"/>
        <rFont val="Arial"/>
        <family val="2"/>
      </rPr>
      <t>=</t>
    </r>
  </si>
  <si>
    <r>
      <rPr>
        <sz val="8"/>
        <rFont val="Calibri"/>
        <family val="2"/>
      </rPr>
      <t>√</t>
    </r>
    <r>
      <rPr>
        <sz val="8"/>
        <rFont val="Arial"/>
        <family val="2"/>
      </rPr>
      <t>(r&amp;R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+ PV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</si>
  <si>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100(r&amp;R/TV)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</si>
</sst>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"/>
    <numFmt numFmtId="166" formatCode="0.0%"/>
    <numFmt numFmtId="167" formatCode="mm/dd/yy"/>
    <numFmt numFmtId="168" formatCode="0.0"/>
    <numFmt numFmtId="169" formatCode="yyyy\-mm\-dd;@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name val="Arial"/>
      <family val="2"/>
    </font>
    <font>
      <sz val="10"/>
      <name val="Symbol"/>
      <family val="1"/>
      <charset val="2"/>
    </font>
    <font>
      <b/>
      <sz val="6"/>
      <name val="Arial"/>
      <family val="2"/>
    </font>
    <font>
      <sz val="6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vertAlign val="subscript"/>
      <sz val="8"/>
      <color indexed="62"/>
      <name val="Arial"/>
      <family val="2"/>
    </font>
    <font>
      <sz val="10"/>
      <name val="Arial"/>
      <family val="2"/>
    </font>
    <font>
      <sz val="8"/>
      <name val="Lucida Sans Unicode"/>
      <family val="2"/>
    </font>
    <font>
      <sz val="14"/>
      <name val="Lucida Sans Unicode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Calibri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0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/>
      <right style="medium">
        <color indexed="62"/>
      </right>
      <top/>
      <bottom/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thick">
        <color indexed="62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ck">
        <color indexed="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ouble">
        <color auto="1"/>
      </right>
      <top style="thick">
        <color auto="1"/>
      </top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ck">
        <color indexed="62"/>
      </bottom>
      <diagonal/>
    </border>
    <border>
      <left/>
      <right style="medium">
        <color auto="1"/>
      </right>
      <top/>
      <bottom style="thick">
        <color indexed="62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/>
  </cellStyleXfs>
  <cellXfs count="278">
    <xf numFmtId="0" fontId="0" fillId="0" borderId="0" xfId="0"/>
    <xf numFmtId="0" fontId="2" fillId="0" borderId="0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3" fillId="0" borderId="3" xfId="0" applyFont="1" applyBorder="1"/>
    <xf numFmtId="0" fontId="3" fillId="0" borderId="26" xfId="0" applyFont="1" applyBorder="1"/>
    <xf numFmtId="0" fontId="3" fillId="2" borderId="10" xfId="0" applyFont="1" applyFill="1" applyBorder="1"/>
    <xf numFmtId="0" fontId="3" fillId="0" borderId="0" xfId="0" applyFont="1" applyBorder="1"/>
    <xf numFmtId="0" fontId="3" fillId="0" borderId="6" xfId="0" applyFont="1" applyBorder="1"/>
    <xf numFmtId="165" fontId="3" fillId="0" borderId="8" xfId="0" applyNumberFormat="1" applyFont="1" applyBorder="1"/>
    <xf numFmtId="165" fontId="3" fillId="0" borderId="27" xfId="0" applyNumberFormat="1" applyFont="1" applyBorder="1"/>
    <xf numFmtId="165" fontId="4" fillId="0" borderId="27" xfId="0" applyNumberFormat="1" applyFont="1" applyBorder="1"/>
    <xf numFmtId="0" fontId="3" fillId="3" borderId="0" xfId="0" applyFont="1" applyFill="1" applyBorder="1"/>
    <xf numFmtId="0" fontId="2" fillId="4" borderId="28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31" xfId="0" applyFont="1" applyFill="1" applyBorder="1"/>
    <xf numFmtId="0" fontId="2" fillId="4" borderId="32" xfId="0" applyFont="1" applyFill="1" applyBorder="1"/>
    <xf numFmtId="0" fontId="2" fillId="4" borderId="33" xfId="0" applyFont="1" applyFill="1" applyBorder="1"/>
    <xf numFmtId="0" fontId="2" fillId="4" borderId="34" xfId="0" applyFont="1" applyFill="1" applyBorder="1"/>
    <xf numFmtId="0" fontId="2" fillId="4" borderId="35" xfId="0" applyFont="1" applyFill="1" applyBorder="1"/>
    <xf numFmtId="0" fontId="2" fillId="4" borderId="36" xfId="0" applyFont="1" applyFill="1" applyBorder="1"/>
    <xf numFmtId="164" fontId="3" fillId="2" borderId="13" xfId="0" applyNumberFormat="1" applyFont="1" applyFill="1" applyBorder="1"/>
    <xf numFmtId="0" fontId="4" fillId="0" borderId="0" xfId="0" applyFont="1" applyBorder="1"/>
    <xf numFmtId="164" fontId="2" fillId="0" borderId="37" xfId="0" applyNumberFormat="1" applyFont="1" applyBorder="1"/>
    <xf numFmtId="164" fontId="2" fillId="0" borderId="38" xfId="0" applyNumberFormat="1" applyFont="1" applyBorder="1"/>
    <xf numFmtId="164" fontId="2" fillId="0" borderId="39" xfId="0" applyNumberFormat="1" applyFont="1" applyBorder="1"/>
    <xf numFmtId="165" fontId="4" fillId="0" borderId="40" xfId="0" applyNumberFormat="1" applyFont="1" applyBorder="1"/>
    <xf numFmtId="165" fontId="4" fillId="0" borderId="41" xfId="0" applyNumberFormat="1" applyFont="1" applyBorder="1"/>
    <xf numFmtId="0" fontId="2" fillId="4" borderId="38" xfId="0" applyFont="1" applyFill="1" applyBorder="1"/>
    <xf numFmtId="0" fontId="2" fillId="4" borderId="42" xfId="0" applyFont="1" applyFill="1" applyBorder="1"/>
    <xf numFmtId="0" fontId="2" fillId="4" borderId="43" xfId="0" applyFont="1" applyFill="1" applyBorder="1"/>
    <xf numFmtId="0" fontId="2" fillId="4" borderId="44" xfId="0" applyFont="1" applyFill="1" applyBorder="1"/>
    <xf numFmtId="0" fontId="2" fillId="4" borderId="45" xfId="0" applyFont="1" applyFill="1" applyBorder="1"/>
    <xf numFmtId="0" fontId="7" fillId="0" borderId="0" xfId="0" applyFont="1"/>
    <xf numFmtId="165" fontId="4" fillId="0" borderId="46" xfId="0" applyNumberFormat="1" applyFont="1" applyBorder="1"/>
    <xf numFmtId="0" fontId="2" fillId="5" borderId="47" xfId="0" applyFont="1" applyFill="1" applyBorder="1" applyProtection="1">
      <protection locked="0"/>
    </xf>
    <xf numFmtId="0" fontId="2" fillId="5" borderId="30" xfId="0" applyFont="1" applyFill="1" applyBorder="1" applyProtection="1">
      <protection locked="0"/>
    </xf>
    <xf numFmtId="0" fontId="2" fillId="5" borderId="49" xfId="0" applyFont="1" applyFill="1" applyBorder="1" applyProtection="1">
      <protection locked="0"/>
    </xf>
    <xf numFmtId="0" fontId="2" fillId="3" borderId="0" xfId="0" applyFont="1" applyFill="1"/>
    <xf numFmtId="0" fontId="2" fillId="3" borderId="6" xfId="0" applyFont="1" applyFill="1" applyBorder="1"/>
    <xf numFmtId="0" fontId="2" fillId="3" borderId="0" xfId="0" applyFont="1" applyFill="1" applyBorder="1"/>
    <xf numFmtId="0" fontId="2" fillId="3" borderId="8" xfId="0" applyFont="1" applyFill="1" applyBorder="1"/>
    <xf numFmtId="0" fontId="8" fillId="3" borderId="0" xfId="0" applyFont="1" applyFill="1" applyBorder="1"/>
    <xf numFmtId="0" fontId="11" fillId="3" borderId="0" xfId="0" applyFont="1" applyFill="1" applyBorder="1" applyAlignment="1">
      <alignment horizontal="right"/>
    </xf>
    <xf numFmtId="0" fontId="2" fillId="3" borderId="36" xfId="0" applyFont="1" applyFill="1" applyBorder="1"/>
    <xf numFmtId="0" fontId="11" fillId="3" borderId="0" xfId="0" applyFont="1" applyFill="1" applyBorder="1"/>
    <xf numFmtId="0" fontId="10" fillId="3" borderId="6" xfId="0" applyFont="1" applyFill="1" applyBorder="1"/>
    <xf numFmtId="0" fontId="10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2" fillId="3" borderId="52" xfId="0" applyFont="1" applyFill="1" applyBorder="1" applyProtection="1">
      <protection locked="0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7" xfId="0" applyFont="1" applyFill="1" applyBorder="1"/>
    <xf numFmtId="0" fontId="11" fillId="3" borderId="53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0" fillId="3" borderId="14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4" fillId="3" borderId="46" xfId="0" applyNumberFormat="1" applyFont="1" applyFill="1" applyBorder="1"/>
    <xf numFmtId="165" fontId="4" fillId="3" borderId="54" xfId="0" applyNumberFormat="1" applyFont="1" applyFill="1" applyBorder="1"/>
    <xf numFmtId="165" fontId="4" fillId="3" borderId="55" xfId="0" applyNumberFormat="1" applyFont="1" applyFill="1" applyBorder="1"/>
    <xf numFmtId="0" fontId="11" fillId="3" borderId="2" xfId="0" applyFont="1" applyFill="1" applyBorder="1"/>
    <xf numFmtId="165" fontId="4" fillId="3" borderId="40" xfId="0" applyNumberFormat="1" applyFont="1" applyFill="1" applyBorder="1"/>
    <xf numFmtId="165" fontId="4" fillId="3" borderId="41" xfId="0" applyNumberFormat="1" applyFont="1" applyFill="1" applyBorder="1"/>
    <xf numFmtId="165" fontId="4" fillId="3" borderId="21" xfId="0" applyNumberFormat="1" applyFont="1" applyFill="1" applyBorder="1"/>
    <xf numFmtId="0" fontId="11" fillId="3" borderId="26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25" xfId="0" applyFont="1" applyFill="1" applyBorder="1"/>
    <xf numFmtId="165" fontId="4" fillId="3" borderId="56" xfId="0" applyNumberFormat="1" applyFont="1" applyFill="1" applyBorder="1"/>
    <xf numFmtId="0" fontId="11" fillId="3" borderId="3" xfId="0" applyFont="1" applyFill="1" applyBorder="1"/>
    <xf numFmtId="165" fontId="4" fillId="3" borderId="27" xfId="0" applyNumberFormat="1" applyFont="1" applyFill="1" applyBorder="1"/>
    <xf numFmtId="164" fontId="2" fillId="3" borderId="37" xfId="0" applyNumberFormat="1" applyFont="1" applyFill="1" applyBorder="1"/>
    <xf numFmtId="164" fontId="2" fillId="3" borderId="39" xfId="0" applyNumberFormat="1" applyFont="1" applyFill="1" applyBorder="1"/>
    <xf numFmtId="164" fontId="2" fillId="3" borderId="38" xfId="0" applyNumberFormat="1" applyFont="1" applyFill="1" applyBorder="1"/>
    <xf numFmtId="0" fontId="11" fillId="3" borderId="10" xfId="0" applyFont="1" applyFill="1" applyBorder="1"/>
    <xf numFmtId="0" fontId="3" fillId="3" borderId="6" xfId="0" applyFont="1" applyFill="1" applyBorder="1"/>
    <xf numFmtId="0" fontId="6" fillId="3" borderId="0" xfId="0" applyFont="1" applyFill="1" applyBorder="1"/>
    <xf numFmtId="0" fontId="2" fillId="3" borderId="52" xfId="0" applyFont="1" applyFill="1" applyBorder="1"/>
    <xf numFmtId="165" fontId="2" fillId="3" borderId="1" xfId="0" applyNumberFormat="1" applyFont="1" applyFill="1" applyBorder="1"/>
    <xf numFmtId="0" fontId="3" fillId="3" borderId="57" xfId="0" applyFont="1" applyFill="1" applyBorder="1"/>
    <xf numFmtId="0" fontId="3" fillId="3" borderId="58" xfId="0" applyFont="1" applyFill="1" applyBorder="1" applyAlignment="1">
      <alignment horizontal="center"/>
    </xf>
    <xf numFmtId="0" fontId="3" fillId="3" borderId="59" xfId="0" applyFont="1" applyFill="1" applyBorder="1"/>
    <xf numFmtId="0" fontId="2" fillId="3" borderId="55" xfId="0" applyFont="1" applyFill="1" applyBorder="1"/>
    <xf numFmtId="0" fontId="3" fillId="3" borderId="55" xfId="0" applyFont="1" applyFill="1" applyBorder="1"/>
    <xf numFmtId="0" fontId="3" fillId="3" borderId="56" xfId="0" applyFont="1" applyFill="1" applyBorder="1"/>
    <xf numFmtId="165" fontId="2" fillId="3" borderId="17" xfId="0" applyNumberFormat="1" applyFont="1" applyFill="1" applyBorder="1"/>
    <xf numFmtId="0" fontId="2" fillId="3" borderId="46" xfId="0" applyFont="1" applyFill="1" applyBorder="1"/>
    <xf numFmtId="0" fontId="2" fillId="3" borderId="60" xfId="0" applyFont="1" applyFill="1" applyBorder="1"/>
    <xf numFmtId="164" fontId="2" fillId="3" borderId="6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/>
    <xf numFmtId="165" fontId="2" fillId="3" borderId="9" xfId="0" applyNumberFormat="1" applyFont="1" applyFill="1" applyBorder="1"/>
    <xf numFmtId="0" fontId="2" fillId="3" borderId="53" xfId="0" applyFont="1" applyFill="1" applyBorder="1"/>
    <xf numFmtId="0" fontId="2" fillId="3" borderId="61" xfId="0" applyFont="1" applyFill="1" applyBorder="1"/>
    <xf numFmtId="165" fontId="2" fillId="3" borderId="5" xfId="0" applyNumberFormat="1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164" fontId="3" fillId="3" borderId="0" xfId="0" applyNumberFormat="1" applyFont="1" applyFill="1" applyBorder="1"/>
    <xf numFmtId="165" fontId="2" fillId="3" borderId="60" xfId="0" applyNumberFormat="1" applyFont="1" applyFill="1" applyBorder="1"/>
    <xf numFmtId="164" fontId="4" fillId="3" borderId="0" xfId="0" applyNumberFormat="1" applyFont="1" applyFill="1" applyBorder="1" applyAlignment="1">
      <alignment horizontal="center"/>
    </xf>
    <xf numFmtId="0" fontId="3" fillId="3" borderId="8" xfId="0" applyFont="1" applyFill="1" applyBorder="1"/>
    <xf numFmtId="164" fontId="2" fillId="3" borderId="14" xfId="0" applyNumberFormat="1" applyFont="1" applyFill="1" applyBorder="1"/>
    <xf numFmtId="164" fontId="4" fillId="3" borderId="52" xfId="0" applyNumberFormat="1" applyFont="1" applyFill="1" applyBorder="1" applyAlignment="1">
      <alignment horizontal="center"/>
    </xf>
    <xf numFmtId="0" fontId="4" fillId="3" borderId="52" xfId="0" applyFont="1" applyFill="1" applyBorder="1"/>
    <xf numFmtId="164" fontId="2" fillId="3" borderId="0" xfId="0" applyNumberFormat="1" applyFont="1" applyFill="1" applyBorder="1"/>
    <xf numFmtId="165" fontId="2" fillId="3" borderId="0" xfId="0" applyNumberFormat="1" applyFont="1" applyFill="1" applyBorder="1"/>
    <xf numFmtId="165" fontId="2" fillId="3" borderId="62" xfId="0" applyNumberFormat="1" applyFont="1" applyFill="1" applyBorder="1"/>
    <xf numFmtId="0" fontId="14" fillId="3" borderId="63" xfId="0" applyFont="1" applyFill="1" applyBorder="1"/>
    <xf numFmtId="0" fontId="13" fillId="3" borderId="63" xfId="0" applyFont="1" applyFill="1" applyBorder="1"/>
    <xf numFmtId="0" fontId="13" fillId="3" borderId="64" xfId="0" applyFont="1" applyFill="1" applyBorder="1"/>
    <xf numFmtId="0" fontId="2" fillId="3" borderId="65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3" borderId="66" xfId="0" applyFont="1" applyFill="1" applyBorder="1"/>
    <xf numFmtId="0" fontId="2" fillId="3" borderId="67" xfId="0" applyFont="1" applyFill="1" applyBorder="1"/>
    <xf numFmtId="2" fontId="2" fillId="3" borderId="0" xfId="0" applyNumberFormat="1" applyFont="1" applyFill="1"/>
    <xf numFmtId="0" fontId="2" fillId="3" borderId="68" xfId="0" applyFont="1" applyFill="1" applyBorder="1"/>
    <xf numFmtId="0" fontId="2" fillId="3" borderId="32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70" xfId="0" applyFont="1" applyFill="1" applyBorder="1"/>
    <xf numFmtId="0" fontId="9" fillId="3" borderId="0" xfId="0" applyFont="1" applyFill="1"/>
    <xf numFmtId="165" fontId="2" fillId="3" borderId="50" xfId="0" applyNumberFormat="1" applyFont="1" applyFill="1" applyBorder="1"/>
    <xf numFmtId="0" fontId="2" fillId="3" borderId="71" xfId="0" applyFont="1" applyFill="1" applyBorder="1"/>
    <xf numFmtId="164" fontId="2" fillId="3" borderId="71" xfId="0" applyNumberFormat="1" applyFont="1" applyFill="1" applyBorder="1"/>
    <xf numFmtId="0" fontId="2" fillId="3" borderId="72" xfId="0" applyFont="1" applyFill="1" applyBorder="1"/>
    <xf numFmtId="165" fontId="2" fillId="3" borderId="71" xfId="0" applyNumberFormat="1" applyFont="1" applyFill="1" applyBorder="1"/>
    <xf numFmtId="165" fontId="2" fillId="3" borderId="72" xfId="0" applyNumberFormat="1" applyFont="1" applyFill="1" applyBorder="1"/>
    <xf numFmtId="165" fontId="2" fillId="3" borderId="65" xfId="0" applyNumberFormat="1" applyFont="1" applyFill="1" applyBorder="1"/>
    <xf numFmtId="165" fontId="2" fillId="3" borderId="68" xfId="0" applyNumberFormat="1" applyFont="1" applyFill="1" applyBorder="1"/>
    <xf numFmtId="0" fontId="2" fillId="3" borderId="48" xfId="0" applyFont="1" applyFill="1" applyBorder="1"/>
    <xf numFmtId="165" fontId="2" fillId="3" borderId="66" xfId="0" applyNumberFormat="1" applyFont="1" applyFill="1" applyBorder="1"/>
    <xf numFmtId="164" fontId="2" fillId="3" borderId="66" xfId="0" applyNumberFormat="1" applyFont="1" applyFill="1" applyBorder="1"/>
    <xf numFmtId="0" fontId="2" fillId="3" borderId="69" xfId="0" applyFont="1" applyFill="1" applyBorder="1"/>
    <xf numFmtId="165" fontId="2" fillId="3" borderId="69" xfId="0" applyNumberFormat="1" applyFont="1" applyFill="1" applyBorder="1"/>
    <xf numFmtId="0" fontId="2" fillId="3" borderId="73" xfId="0" applyFont="1" applyFill="1" applyBorder="1"/>
    <xf numFmtId="0" fontId="2" fillId="3" borderId="74" xfId="0" applyFont="1" applyFill="1" applyBorder="1"/>
    <xf numFmtId="0" fontId="2" fillId="3" borderId="75" xfId="0" applyFont="1" applyFill="1" applyBorder="1"/>
    <xf numFmtId="0" fontId="2" fillId="3" borderId="76" xfId="0" applyFont="1" applyFill="1" applyBorder="1"/>
    <xf numFmtId="0" fontId="2" fillId="3" borderId="77" xfId="0" applyFont="1" applyFill="1" applyBorder="1"/>
    <xf numFmtId="0" fontId="2" fillId="3" borderId="79" xfId="0" applyFont="1" applyFill="1" applyBorder="1"/>
    <xf numFmtId="0" fontId="3" fillId="3" borderId="79" xfId="0" applyFont="1" applyFill="1" applyBorder="1"/>
    <xf numFmtId="0" fontId="3" fillId="3" borderId="79" xfId="0" applyFont="1" applyFill="1" applyBorder="1" applyAlignment="1">
      <alignment horizontal="center"/>
    </xf>
    <xf numFmtId="0" fontId="2" fillId="6" borderId="0" xfId="0" applyFont="1" applyFill="1" applyBorder="1"/>
    <xf numFmtId="0" fontId="2" fillId="0" borderId="0" xfId="0" applyFont="1" applyFill="1" applyBorder="1"/>
    <xf numFmtId="0" fontId="2" fillId="7" borderId="0" xfId="0" applyFont="1" applyFill="1" applyBorder="1"/>
    <xf numFmtId="0" fontId="3" fillId="6" borderId="36" xfId="0" applyFont="1" applyFill="1" applyBorder="1" applyProtection="1">
      <protection locked="0"/>
    </xf>
    <xf numFmtId="0" fontId="3" fillId="6" borderId="36" xfId="0" applyFont="1" applyFill="1" applyBorder="1"/>
    <xf numFmtId="0" fontId="2" fillId="6" borderId="36" xfId="0" applyFont="1" applyFill="1" applyBorder="1"/>
    <xf numFmtId="0" fontId="2" fillId="6" borderId="36" xfId="0" applyFont="1" applyFill="1" applyBorder="1" applyProtection="1">
      <protection locked="0"/>
    </xf>
    <xf numFmtId="0" fontId="2" fillId="8" borderId="0" xfId="0" applyFont="1" applyFill="1" applyBorder="1"/>
    <xf numFmtId="0" fontId="12" fillId="3" borderId="0" xfId="2" applyFont="1" applyFill="1" applyBorder="1"/>
    <xf numFmtId="0" fontId="11" fillId="3" borderId="0" xfId="2" applyFont="1" applyFill="1" applyBorder="1"/>
    <xf numFmtId="0" fontId="10" fillId="3" borderId="0" xfId="2" applyFont="1" applyFill="1" applyBorder="1"/>
    <xf numFmtId="2" fontId="2" fillId="3" borderId="69" xfId="0" applyNumberFormat="1" applyFont="1" applyFill="1" applyBorder="1" applyAlignment="1">
      <alignment horizontal="center"/>
    </xf>
    <xf numFmtId="0" fontId="17" fillId="3" borderId="0" xfId="0" applyFont="1" applyFill="1"/>
    <xf numFmtId="0" fontId="19" fillId="9" borderId="81" xfId="2" applyFont="1" applyFill="1" applyBorder="1"/>
    <xf numFmtId="0" fontId="20" fillId="9" borderId="82" xfId="0" applyFont="1" applyFill="1" applyBorder="1"/>
    <xf numFmtId="0" fontId="19" fillId="9" borderId="84" xfId="2" applyFont="1" applyFill="1" applyBorder="1" applyAlignment="1">
      <alignment horizontal="left" indent="1"/>
    </xf>
    <xf numFmtId="0" fontId="20" fillId="9" borderId="0" xfId="0" applyFont="1" applyFill="1" applyBorder="1"/>
    <xf numFmtId="0" fontId="19" fillId="9" borderId="84" xfId="0" applyFont="1" applyFill="1" applyBorder="1" applyAlignment="1">
      <alignment horizontal="left" indent="1"/>
    </xf>
    <xf numFmtId="0" fontId="20" fillId="9" borderId="86" xfId="0" applyFont="1" applyFill="1" applyBorder="1" applyAlignment="1">
      <alignment horizontal="left" indent="1"/>
    </xf>
    <xf numFmtId="0" fontId="20" fillId="9" borderId="36" xfId="0" applyFont="1" applyFill="1" applyBorder="1"/>
    <xf numFmtId="0" fontId="13" fillId="9" borderId="0" xfId="0" applyFont="1" applyFill="1" applyBorder="1"/>
    <xf numFmtId="0" fontId="21" fillId="9" borderId="0" xfId="2" applyFont="1" applyFill="1" applyBorder="1"/>
    <xf numFmtId="0" fontId="2" fillId="9" borderId="0" xfId="0" applyFont="1" applyFill="1" applyBorder="1"/>
    <xf numFmtId="0" fontId="13" fillId="9" borderId="81" xfId="0" applyFont="1" applyFill="1" applyBorder="1"/>
    <xf numFmtId="0" fontId="13" fillId="9" borderId="82" xfId="0" applyFont="1" applyFill="1" applyBorder="1"/>
    <xf numFmtId="0" fontId="13" fillId="9" borderId="83" xfId="0" applyFont="1" applyFill="1" applyBorder="1"/>
    <xf numFmtId="0" fontId="13" fillId="9" borderId="84" xfId="0" applyFont="1" applyFill="1" applyBorder="1"/>
    <xf numFmtId="0" fontId="13" fillId="9" borderId="85" xfId="0" applyFont="1" applyFill="1" applyBorder="1"/>
    <xf numFmtId="0" fontId="2" fillId="3" borderId="84" xfId="0" applyFont="1" applyFill="1" applyBorder="1"/>
    <xf numFmtId="0" fontId="2" fillId="3" borderId="85" xfId="0" applyFont="1" applyFill="1" applyBorder="1"/>
    <xf numFmtId="0" fontId="11" fillId="3" borderId="84" xfId="2" applyFont="1" applyFill="1" applyBorder="1"/>
    <xf numFmtId="0" fontId="10" fillId="3" borderId="84" xfId="2" applyFont="1" applyFill="1" applyBorder="1"/>
    <xf numFmtId="0" fontId="11" fillId="3" borderId="84" xfId="0" applyFont="1" applyFill="1" applyBorder="1"/>
    <xf numFmtId="0" fontId="3" fillId="3" borderId="88" xfId="0" applyFont="1" applyFill="1" applyBorder="1"/>
    <xf numFmtId="0" fontId="2" fillId="3" borderId="89" xfId="0" applyFont="1" applyFill="1" applyBorder="1"/>
    <xf numFmtId="0" fontId="11" fillId="3" borderId="90" xfId="2" applyFont="1" applyFill="1" applyBorder="1"/>
    <xf numFmtId="0" fontId="11" fillId="3" borderId="91" xfId="2" applyFont="1" applyFill="1" applyBorder="1"/>
    <xf numFmtId="0" fontId="11" fillId="3" borderId="85" xfId="0" applyFont="1" applyFill="1" applyBorder="1" applyAlignment="1">
      <alignment horizontal="center"/>
    </xf>
    <xf numFmtId="165" fontId="11" fillId="3" borderId="85" xfId="0" applyNumberFormat="1" applyFont="1" applyFill="1" applyBorder="1"/>
    <xf numFmtId="0" fontId="11" fillId="3" borderId="93" xfId="2" applyFont="1" applyFill="1" applyBorder="1"/>
    <xf numFmtId="165" fontId="11" fillId="3" borderId="92" xfId="0" applyNumberFormat="1" applyFont="1" applyFill="1" applyBorder="1"/>
    <xf numFmtId="0" fontId="11" fillId="3" borderId="94" xfId="2" applyFont="1" applyFill="1" applyBorder="1"/>
    <xf numFmtId="0" fontId="11" fillId="3" borderId="95" xfId="2" applyFont="1" applyFill="1" applyBorder="1"/>
    <xf numFmtId="165" fontId="11" fillId="3" borderId="96" xfId="0" applyNumberFormat="1" applyFont="1" applyFill="1" applyBorder="1"/>
    <xf numFmtId="0" fontId="11" fillId="3" borderId="85" xfId="0" applyFont="1" applyFill="1" applyBorder="1"/>
    <xf numFmtId="165" fontId="11" fillId="3" borderId="98" xfId="0" applyNumberFormat="1" applyFont="1" applyFill="1" applyBorder="1"/>
    <xf numFmtId="0" fontId="3" fillId="3" borderId="84" xfId="0" applyFont="1" applyFill="1" applyBorder="1"/>
    <xf numFmtId="0" fontId="3" fillId="3" borderId="93" xfId="0" applyFont="1" applyFill="1" applyBorder="1"/>
    <xf numFmtId="0" fontId="3" fillId="3" borderId="91" xfId="0" applyFont="1" applyFill="1" applyBorder="1"/>
    <xf numFmtId="0" fontId="3" fillId="3" borderId="90" xfId="0" applyFont="1" applyFill="1" applyBorder="1"/>
    <xf numFmtId="0" fontId="6" fillId="3" borderId="84" xfId="0" applyFont="1" applyFill="1" applyBorder="1"/>
    <xf numFmtId="0" fontId="3" fillId="3" borderId="99" xfId="0" applyFont="1" applyFill="1" applyBorder="1"/>
    <xf numFmtId="0" fontId="3" fillId="3" borderId="100" xfId="0" applyFont="1" applyFill="1" applyBorder="1"/>
    <xf numFmtId="0" fontId="13" fillId="3" borderId="103" xfId="0" applyFont="1" applyFill="1" applyBorder="1"/>
    <xf numFmtId="0" fontId="13" fillId="3" borderId="104" xfId="0" applyFont="1" applyFill="1" applyBorder="1"/>
    <xf numFmtId="0" fontId="2" fillId="3" borderId="84" xfId="0" applyFont="1" applyFill="1" applyBorder="1" applyAlignment="1">
      <alignment horizontal="right"/>
    </xf>
    <xf numFmtId="0" fontId="2" fillId="3" borderId="86" xfId="0" applyFont="1" applyFill="1" applyBorder="1"/>
    <xf numFmtId="0" fontId="2" fillId="3" borderId="87" xfId="0" applyFont="1" applyFill="1" applyBorder="1"/>
    <xf numFmtId="166" fontId="11" fillId="3" borderId="87" xfId="1" applyNumberFormat="1" applyFont="1" applyFill="1" applyBorder="1"/>
    <xf numFmtId="0" fontId="20" fillId="6" borderId="51" xfId="0" applyFont="1" applyFill="1" applyBorder="1"/>
    <xf numFmtId="0" fontId="20" fillId="7" borderId="51" xfId="0" applyFont="1" applyFill="1" applyBorder="1"/>
    <xf numFmtId="0" fontId="20" fillId="10" borderId="51" xfId="0" applyFont="1" applyFill="1" applyBorder="1"/>
    <xf numFmtId="165" fontId="2" fillId="10" borderId="8" xfId="0" applyNumberFormat="1" applyFont="1" applyFill="1" applyBorder="1"/>
    <xf numFmtId="165" fontId="2" fillId="10" borderId="15" xfId="0" applyNumberFormat="1" applyFont="1" applyFill="1" applyBorder="1"/>
    <xf numFmtId="165" fontId="3" fillId="10" borderId="80" xfId="0" applyNumberFormat="1" applyFont="1" applyFill="1" applyBorder="1"/>
    <xf numFmtId="0" fontId="22" fillId="10" borderId="93" xfId="0" applyFont="1" applyFill="1" applyBorder="1"/>
    <xf numFmtId="164" fontId="3" fillId="10" borderId="17" xfId="0" applyNumberFormat="1" applyFont="1" applyFill="1" applyBorder="1"/>
    <xf numFmtId="0" fontId="3" fillId="10" borderId="101" xfId="0" applyFont="1" applyFill="1" applyBorder="1"/>
    <xf numFmtId="0" fontId="3" fillId="10" borderId="102" xfId="0" applyFont="1" applyFill="1" applyBorder="1"/>
    <xf numFmtId="0" fontId="3" fillId="10" borderId="87" xfId="0" applyFont="1" applyFill="1" applyBorder="1"/>
    <xf numFmtId="0" fontId="2" fillId="9" borderId="83" xfId="0" applyFont="1" applyFill="1" applyBorder="1"/>
    <xf numFmtId="0" fontId="2" fillId="9" borderId="85" xfId="0" applyFont="1" applyFill="1" applyBorder="1"/>
    <xf numFmtId="0" fontId="2" fillId="9" borderId="87" xfId="0" applyFont="1" applyFill="1" applyBorder="1"/>
    <xf numFmtId="0" fontId="11" fillId="3" borderId="90" xfId="2" applyFont="1" applyFill="1" applyBorder="1" applyAlignment="1">
      <alignment horizontal="center"/>
    </xf>
    <xf numFmtId="0" fontId="11" fillId="3" borderId="97" xfId="2" applyFont="1" applyFill="1" applyBorder="1" applyAlignment="1">
      <alignment horizontal="center"/>
    </xf>
    <xf numFmtId="0" fontId="11" fillId="3" borderId="78" xfId="0" applyFont="1" applyFill="1" applyBorder="1"/>
    <xf numFmtId="0" fontId="2" fillId="3" borderId="36" xfId="0" applyFont="1" applyFill="1" applyBorder="1" applyAlignment="1">
      <alignment horizontal="left"/>
    </xf>
    <xf numFmtId="0" fontId="3" fillId="6" borderId="36" xfId="0" applyFont="1" applyFill="1" applyBorder="1" applyAlignment="1" applyProtection="1">
      <alignment horizontal="left"/>
      <protection locked="0"/>
    </xf>
    <xf numFmtId="0" fontId="3" fillId="7" borderId="36" xfId="0" applyFont="1" applyFill="1" applyBorder="1" applyProtection="1">
      <protection locked="0"/>
    </xf>
    <xf numFmtId="2" fontId="3" fillId="10" borderId="51" xfId="1" applyNumberFormat="1" applyFont="1" applyFill="1" applyBorder="1"/>
    <xf numFmtId="2" fontId="3" fillId="10" borderId="51" xfId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167" fontId="2" fillId="3" borderId="36" xfId="0" applyNumberFormat="1" applyFont="1" applyFill="1" applyBorder="1" applyAlignment="1">
      <alignment horizontal="left"/>
    </xf>
    <xf numFmtId="167" fontId="2" fillId="3" borderId="0" xfId="0" applyNumberFormat="1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left"/>
    </xf>
    <xf numFmtId="9" fontId="2" fillId="3" borderId="84" xfId="0" applyNumberFormat="1" applyFont="1" applyFill="1" applyBorder="1"/>
    <xf numFmtId="169" fontId="2" fillId="3" borderId="0" xfId="0" applyNumberFormat="1" applyFont="1" applyFill="1"/>
    <xf numFmtId="169" fontId="2" fillId="6" borderId="36" xfId="0" applyNumberFormat="1" applyFont="1" applyFill="1" applyBorder="1" applyProtection="1">
      <protection locked="0"/>
    </xf>
    <xf numFmtId="9" fontId="27" fillId="3" borderId="0" xfId="0" applyNumberFormat="1" applyFont="1" applyFill="1" applyBorder="1" applyAlignment="1">
      <alignment horizontal="left"/>
    </xf>
    <xf numFmtId="0" fontId="27" fillId="3" borderId="0" xfId="0" applyFont="1" applyFill="1" applyBorder="1"/>
    <xf numFmtId="164" fontId="2" fillId="3" borderId="0" xfId="0" applyNumberFormat="1" applyFont="1" applyFill="1" applyBorder="1" applyAlignment="1">
      <alignment horizontal="left"/>
    </xf>
    <xf numFmtId="0" fontId="2" fillId="5" borderId="36" xfId="0" applyFont="1" applyFill="1" applyBorder="1" applyAlignment="1" applyProtection="1">
      <alignment horizontal="left"/>
      <protection locked="0"/>
    </xf>
    <xf numFmtId="9" fontId="3" fillId="10" borderId="51" xfId="1" applyFont="1" applyFill="1" applyBorder="1" applyAlignment="1">
      <alignment horizontal="center"/>
    </xf>
    <xf numFmtId="168" fontId="3" fillId="10" borderId="51" xfId="1" applyNumberFormat="1" applyFont="1" applyFill="1" applyBorder="1" applyAlignment="1">
      <alignment horizontal="center"/>
    </xf>
    <xf numFmtId="0" fontId="2" fillId="0" borderId="87" xfId="0" applyFont="1" applyFill="1" applyBorder="1"/>
    <xf numFmtId="0" fontId="11" fillId="3" borderId="14" xfId="0" applyFont="1" applyFill="1" applyBorder="1" applyAlignment="1">
      <alignment horizontal="center"/>
    </xf>
    <xf numFmtId="0" fontId="11" fillId="3" borderId="92" xfId="0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3" fillId="3" borderId="52" xfId="0" applyNumberFormat="1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Carte de</a:t>
            </a:r>
            <a:r>
              <a:rPr lang="fr-FR" baseline="0"/>
              <a:t> contrôle des </a:t>
            </a:r>
            <a:r>
              <a:rPr lang="fr-FR"/>
              <a:t>étendues</a:t>
            </a:r>
          </a:p>
        </c:rich>
      </c:tx>
      <c:layout>
        <c:manualLayout>
          <c:xMode val="edge"/>
          <c:yMode val="edge"/>
          <c:x val="0.31436233990283"/>
          <c:y val="0.031531614598157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597765363128"/>
          <c:y val="0.195946376923162"/>
          <c:w val="0.801675977653636"/>
          <c:h val="0.511262385765023"/>
        </c:manualLayout>
      </c:layout>
      <c:lineChart>
        <c:grouping val="standard"/>
        <c:varyColors val="0"/>
        <c:ser>
          <c:idx val="0"/>
          <c:order val="0"/>
          <c:tx>
            <c:strRef>
              <c:f>GAGERR!$B$35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2">
                  <c:v>1.0</c:v>
                </c:pt>
                <c:pt idx="23">
                  <c:v>2.0</c:v>
                </c:pt>
                <c:pt idx="24">
                  <c:v>3.0</c:v>
                </c:pt>
                <c:pt idx="25">
                  <c:v>4.0</c:v>
                </c:pt>
                <c:pt idx="26">
                  <c:v>5.0</c:v>
                </c:pt>
                <c:pt idx="27">
                  <c:v>6.0</c:v>
                </c:pt>
                <c:pt idx="28">
                  <c:v>7.0</c:v>
                </c:pt>
                <c:pt idx="29">
                  <c:v>8.0</c:v>
                </c:pt>
                <c:pt idx="30">
                  <c:v>9.0</c:v>
                </c:pt>
                <c:pt idx="31">
                  <c:v>10.0</c:v>
                </c:pt>
              </c:numCache>
            </c:numRef>
          </c:cat>
          <c:val>
            <c:numRef>
              <c:f>[0]!A_Range</c:f>
              <c:numCache>
                <c:formatCode>0.000</c:formatCode>
                <c:ptCount val="10"/>
                <c:pt idx="0">
                  <c:v>0.149999999999999</c:v>
                </c:pt>
                <c:pt idx="1">
                  <c:v>0.149999999999999</c:v>
                </c:pt>
                <c:pt idx="2">
                  <c:v>0.149999999999999</c:v>
                </c:pt>
                <c:pt idx="3">
                  <c:v>0.149999999999999</c:v>
                </c:pt>
                <c:pt idx="4">
                  <c:v>0.199999999999999</c:v>
                </c:pt>
                <c:pt idx="5">
                  <c:v>0.199999999999999</c:v>
                </c:pt>
                <c:pt idx="6">
                  <c:v>0.149999999999999</c:v>
                </c:pt>
                <c:pt idx="7">
                  <c:v>0.0999999999999996</c:v>
                </c:pt>
                <c:pt idx="8">
                  <c:v>0.149999999999999</c:v>
                </c:pt>
                <c:pt idx="9">
                  <c:v>0.199999999999999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GAGERR!$B$41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2">
                  <c:v>1.0</c:v>
                </c:pt>
                <c:pt idx="23">
                  <c:v>2.0</c:v>
                </c:pt>
                <c:pt idx="24">
                  <c:v>3.0</c:v>
                </c:pt>
                <c:pt idx="25">
                  <c:v>4.0</c:v>
                </c:pt>
                <c:pt idx="26">
                  <c:v>5.0</c:v>
                </c:pt>
                <c:pt idx="27">
                  <c:v>6.0</c:v>
                </c:pt>
                <c:pt idx="28">
                  <c:v>7.0</c:v>
                </c:pt>
                <c:pt idx="29">
                  <c:v>8.0</c:v>
                </c:pt>
                <c:pt idx="30">
                  <c:v>9.0</c:v>
                </c:pt>
                <c:pt idx="31">
                  <c:v>10.0</c:v>
                </c:pt>
              </c:numCache>
            </c:numRef>
          </c:cat>
          <c:val>
            <c:numRef>
              <c:f>[0]!B_Range</c:f>
              <c:numCache>
                <c:formatCode>General</c:formatCode>
                <c:ptCount val="21"/>
                <c:pt idx="11" formatCode="0.000">
                  <c:v>0.149999999999999</c:v>
                </c:pt>
                <c:pt idx="12" formatCode="0.000">
                  <c:v>0.149999999999999</c:v>
                </c:pt>
                <c:pt idx="13" formatCode="0.000">
                  <c:v>0.149999999999999</c:v>
                </c:pt>
                <c:pt idx="14" formatCode="0.000">
                  <c:v>0.199999999999999</c:v>
                </c:pt>
                <c:pt idx="15" formatCode="0.000">
                  <c:v>0.199999999999999</c:v>
                </c:pt>
                <c:pt idx="16" formatCode="0.000">
                  <c:v>0.199999999999999</c:v>
                </c:pt>
                <c:pt idx="17" formatCode="0.000">
                  <c:v>0.149999999999999</c:v>
                </c:pt>
                <c:pt idx="18" formatCode="0.000">
                  <c:v>0.0999999999999996</c:v>
                </c:pt>
                <c:pt idx="19" formatCode="0.000">
                  <c:v>0.149999999999999</c:v>
                </c:pt>
                <c:pt idx="20" formatCode="0.000">
                  <c:v>0.0500000000000007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GAGERR!$B$47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2">
                  <c:v>1.0</c:v>
                </c:pt>
                <c:pt idx="23">
                  <c:v>2.0</c:v>
                </c:pt>
                <c:pt idx="24">
                  <c:v>3.0</c:v>
                </c:pt>
                <c:pt idx="25">
                  <c:v>4.0</c:v>
                </c:pt>
                <c:pt idx="26">
                  <c:v>5.0</c:v>
                </c:pt>
                <c:pt idx="27">
                  <c:v>6.0</c:v>
                </c:pt>
                <c:pt idx="28">
                  <c:v>7.0</c:v>
                </c:pt>
                <c:pt idx="29">
                  <c:v>8.0</c:v>
                </c:pt>
                <c:pt idx="30">
                  <c:v>9.0</c:v>
                </c:pt>
                <c:pt idx="31">
                  <c:v>10.0</c:v>
                </c:pt>
              </c:numCache>
            </c:numRef>
          </c:cat>
          <c:val>
            <c:numRef>
              <c:f>[0]!C_Range</c:f>
              <c:numCache>
                <c:formatCode>General</c:formatCode>
                <c:ptCount val="32"/>
                <c:pt idx="22" formatCode="0.000">
                  <c:v>0.0499999999999989</c:v>
                </c:pt>
                <c:pt idx="23" formatCode="0.000">
                  <c:v>0.149999999999999</c:v>
                </c:pt>
                <c:pt idx="24" formatCode="0.000">
                  <c:v>0.149999999999999</c:v>
                </c:pt>
                <c:pt idx="25" formatCode="0.000">
                  <c:v>0.0500000000000007</c:v>
                </c:pt>
                <c:pt idx="26" formatCode="0.000">
                  <c:v>0.199999999999999</c:v>
                </c:pt>
                <c:pt idx="27" formatCode="0.000">
                  <c:v>0.199999999999999</c:v>
                </c:pt>
                <c:pt idx="28" formatCode="0.000">
                  <c:v>0.149999999999999</c:v>
                </c:pt>
                <c:pt idx="29" formatCode="0.000">
                  <c:v>0.0999999999999996</c:v>
                </c:pt>
                <c:pt idx="30" formatCode="0.000">
                  <c:v>0.149999999999999</c:v>
                </c:pt>
                <c:pt idx="31" formatCode="0.000">
                  <c:v>0.0500000000000007</c:v>
                </c:pt>
              </c:numCache>
            </c:numRef>
          </c:val>
          <c:smooth val="0"/>
        </c:ser>
        <c:ser>
          <c:idx val="3"/>
          <c:order val="3"/>
          <c:tx>
            <c:v>LCS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2">
                  <c:v>1.0</c:v>
                </c:pt>
                <c:pt idx="23">
                  <c:v>2.0</c:v>
                </c:pt>
                <c:pt idx="24">
                  <c:v>3.0</c:v>
                </c:pt>
                <c:pt idx="25">
                  <c:v>4.0</c:v>
                </c:pt>
                <c:pt idx="26">
                  <c:v>5.0</c:v>
                </c:pt>
                <c:pt idx="27">
                  <c:v>6.0</c:v>
                </c:pt>
                <c:pt idx="28">
                  <c:v>7.0</c:v>
                </c:pt>
                <c:pt idx="29">
                  <c:v>8.0</c:v>
                </c:pt>
                <c:pt idx="30">
                  <c:v>9.0</c:v>
                </c:pt>
                <c:pt idx="31">
                  <c:v>10.0</c:v>
                </c:pt>
              </c:numCache>
            </c:numRef>
          </c:cat>
          <c:val>
            <c:numRef>
              <c:f>([0]!A_RUCL,[0]!B_RUCL,[0]!C_RUCL)</c:f>
              <c:numCache>
                <c:formatCode>General</c:formatCode>
                <c:ptCount val="33"/>
                <c:pt idx="0">
                  <c:v>0.373374999999998</c:v>
                </c:pt>
                <c:pt idx="1">
                  <c:v>0.373374999999998</c:v>
                </c:pt>
                <c:pt idx="2">
                  <c:v>0.373374999999998</c:v>
                </c:pt>
                <c:pt idx="3">
                  <c:v>0.373374999999998</c:v>
                </c:pt>
                <c:pt idx="4">
                  <c:v>0.373374999999998</c:v>
                </c:pt>
                <c:pt idx="5">
                  <c:v>0.373374999999998</c:v>
                </c:pt>
                <c:pt idx="6">
                  <c:v>0.373374999999998</c:v>
                </c:pt>
                <c:pt idx="7">
                  <c:v>0.373374999999998</c:v>
                </c:pt>
                <c:pt idx="8">
                  <c:v>0.373374999999998</c:v>
                </c:pt>
                <c:pt idx="9">
                  <c:v>0.373374999999998</c:v>
                </c:pt>
                <c:pt idx="10">
                  <c:v>0.373374999999998</c:v>
                </c:pt>
                <c:pt idx="11">
                  <c:v>0.373374999999998</c:v>
                </c:pt>
                <c:pt idx="12">
                  <c:v>0.373374999999998</c:v>
                </c:pt>
                <c:pt idx="13">
                  <c:v>0.373374999999998</c:v>
                </c:pt>
                <c:pt idx="14">
                  <c:v>0.373374999999998</c:v>
                </c:pt>
                <c:pt idx="15">
                  <c:v>0.373374999999998</c:v>
                </c:pt>
                <c:pt idx="16">
                  <c:v>0.373374999999998</c:v>
                </c:pt>
                <c:pt idx="17">
                  <c:v>0.373374999999998</c:v>
                </c:pt>
                <c:pt idx="18">
                  <c:v>0.373374999999998</c:v>
                </c:pt>
                <c:pt idx="19">
                  <c:v>0.373374999999998</c:v>
                </c:pt>
                <c:pt idx="20">
                  <c:v>0.373374999999998</c:v>
                </c:pt>
                <c:pt idx="21">
                  <c:v>0.373374999999998</c:v>
                </c:pt>
                <c:pt idx="22">
                  <c:v>0.373374999999998</c:v>
                </c:pt>
                <c:pt idx="23">
                  <c:v>0.373374999999998</c:v>
                </c:pt>
                <c:pt idx="24">
                  <c:v>0.373374999999998</c:v>
                </c:pt>
                <c:pt idx="25">
                  <c:v>0.373374999999998</c:v>
                </c:pt>
                <c:pt idx="26">
                  <c:v>0.373374999999998</c:v>
                </c:pt>
                <c:pt idx="27">
                  <c:v>0.373374999999998</c:v>
                </c:pt>
                <c:pt idx="28">
                  <c:v>0.373374999999998</c:v>
                </c:pt>
                <c:pt idx="29">
                  <c:v>0.373374999999998</c:v>
                </c:pt>
                <c:pt idx="30">
                  <c:v>0.373374999999998</c:v>
                </c:pt>
                <c:pt idx="31">
                  <c:v>0.373374999999998</c:v>
                </c:pt>
              </c:numCache>
            </c:numRef>
          </c:val>
          <c:smooth val="0"/>
        </c:ser>
        <c:ser>
          <c:idx val="4"/>
          <c:order val="4"/>
          <c:tx>
            <c:v>Moyenne</c:v>
          </c:tx>
          <c:spPr>
            <a:ln w="25400">
              <a:solidFill>
                <a:srgbClr val="800080"/>
              </a:solidFill>
              <a:prstDash val="sysDash"/>
            </a:ln>
          </c:spPr>
          <c:marker>
            <c:symbol val="dot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2">
                  <c:v>1.0</c:v>
                </c:pt>
                <c:pt idx="23">
                  <c:v>2.0</c:v>
                </c:pt>
                <c:pt idx="24">
                  <c:v>3.0</c:v>
                </c:pt>
                <c:pt idx="25">
                  <c:v>4.0</c:v>
                </c:pt>
                <c:pt idx="26">
                  <c:v>5.0</c:v>
                </c:pt>
                <c:pt idx="27">
                  <c:v>6.0</c:v>
                </c:pt>
                <c:pt idx="28">
                  <c:v>7.0</c:v>
                </c:pt>
                <c:pt idx="29">
                  <c:v>8.0</c:v>
                </c:pt>
                <c:pt idx="30">
                  <c:v>9.0</c:v>
                </c:pt>
                <c:pt idx="31">
                  <c:v>10.0</c:v>
                </c:pt>
              </c:numCache>
            </c:numRef>
          </c:cat>
          <c:val>
            <c:numRef>
              <c:f>([0]!A_Rbar,[0]!B_Rbar,[0]!C_Rbar)</c:f>
              <c:numCache>
                <c:formatCode>0.0000</c:formatCode>
                <c:ptCount val="33"/>
                <c:pt idx="0">
                  <c:v>0.144999999999999</c:v>
                </c:pt>
                <c:pt idx="1">
                  <c:v>0.144999999999999</c:v>
                </c:pt>
                <c:pt idx="2">
                  <c:v>0.144999999999999</c:v>
                </c:pt>
                <c:pt idx="3">
                  <c:v>0.144999999999999</c:v>
                </c:pt>
                <c:pt idx="4">
                  <c:v>0.144999999999999</c:v>
                </c:pt>
                <c:pt idx="5">
                  <c:v>0.144999999999999</c:v>
                </c:pt>
                <c:pt idx="6">
                  <c:v>0.144999999999999</c:v>
                </c:pt>
                <c:pt idx="7">
                  <c:v>0.144999999999999</c:v>
                </c:pt>
                <c:pt idx="8">
                  <c:v>0.144999999999999</c:v>
                </c:pt>
                <c:pt idx="9">
                  <c:v>0.144999999999999</c:v>
                </c:pt>
                <c:pt idx="10">
                  <c:v>0.144999999999999</c:v>
                </c:pt>
                <c:pt idx="11">
                  <c:v>0.144999999999999</c:v>
                </c:pt>
                <c:pt idx="12">
                  <c:v>0.144999999999999</c:v>
                </c:pt>
                <c:pt idx="13">
                  <c:v>0.144999999999999</c:v>
                </c:pt>
                <c:pt idx="14">
                  <c:v>0.144999999999999</c:v>
                </c:pt>
                <c:pt idx="15">
                  <c:v>0.144999999999999</c:v>
                </c:pt>
                <c:pt idx="16">
                  <c:v>0.144999999999999</c:v>
                </c:pt>
                <c:pt idx="17">
                  <c:v>0.144999999999999</c:v>
                </c:pt>
                <c:pt idx="18">
                  <c:v>0.144999999999999</c:v>
                </c:pt>
                <c:pt idx="19">
                  <c:v>0.144999999999999</c:v>
                </c:pt>
                <c:pt idx="20">
                  <c:v>0.144999999999999</c:v>
                </c:pt>
                <c:pt idx="21">
                  <c:v>0.144999999999999</c:v>
                </c:pt>
                <c:pt idx="22">
                  <c:v>0.144999999999999</c:v>
                </c:pt>
                <c:pt idx="23">
                  <c:v>0.144999999999999</c:v>
                </c:pt>
                <c:pt idx="24">
                  <c:v>0.144999999999999</c:v>
                </c:pt>
                <c:pt idx="25">
                  <c:v>0.144999999999999</c:v>
                </c:pt>
                <c:pt idx="26">
                  <c:v>0.144999999999999</c:v>
                </c:pt>
                <c:pt idx="27">
                  <c:v>0.144999999999999</c:v>
                </c:pt>
                <c:pt idx="28">
                  <c:v>0.144999999999999</c:v>
                </c:pt>
                <c:pt idx="29">
                  <c:v>0.144999999999999</c:v>
                </c:pt>
                <c:pt idx="30">
                  <c:v>0.144999999999999</c:v>
                </c:pt>
                <c:pt idx="31">
                  <c:v>0.144999999999999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83316176"/>
        <c:axId val="-1282704064"/>
      </c:lineChart>
      <c:catAx>
        <c:axId val="-128331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Numéro de l'essai</a:t>
                </a:r>
              </a:p>
            </c:rich>
          </c:tx>
          <c:layout>
            <c:manualLayout>
              <c:xMode val="edge"/>
              <c:yMode val="edge"/>
              <c:x val="0.479050279329612"/>
              <c:y val="0.8063080797527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270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270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ETENDUE</a:t>
                </a:r>
              </a:p>
            </c:rich>
          </c:tx>
          <c:layout>
            <c:manualLayout>
              <c:xMode val="edge"/>
              <c:yMode val="edge"/>
              <c:x val="0.0223463687150839"/>
              <c:y val="0.37612695340423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33161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6312849162014"/>
          <c:y val="0.91441642564142"/>
          <c:w val="0.562849162011178"/>
          <c:h val="0.0698199733864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 w="3175">
      <a:noFill/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3" r="0.750000000000003" t="1.0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Carte de contrôle des</a:t>
            </a:r>
            <a:r>
              <a:rPr lang="fr-FR" baseline="0"/>
              <a:t> </a:t>
            </a:r>
            <a:r>
              <a:rPr lang="fr-FR"/>
              <a:t>moyennes</a:t>
            </a:r>
          </a:p>
        </c:rich>
      </c:tx>
      <c:layout>
        <c:manualLayout>
          <c:xMode val="edge"/>
          <c:yMode val="edge"/>
          <c:x val="0.289068064268869"/>
          <c:y val="0.035047211306426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90322580645"/>
          <c:y val="0.1955058324985"/>
          <c:w val="0.807854137447406"/>
          <c:h val="0.523596080139656"/>
        </c:manualLayout>
      </c:layout>
      <c:lineChart>
        <c:grouping val="standard"/>
        <c:varyColors val="0"/>
        <c:ser>
          <c:idx val="0"/>
          <c:order val="0"/>
          <c:tx>
            <c:strRef>
              <c:f>GAGERR!$B$35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2">
                  <c:v>1.0</c:v>
                </c:pt>
                <c:pt idx="23">
                  <c:v>2.0</c:v>
                </c:pt>
                <c:pt idx="24">
                  <c:v>3.0</c:v>
                </c:pt>
                <c:pt idx="25">
                  <c:v>4.0</c:v>
                </c:pt>
                <c:pt idx="26">
                  <c:v>5.0</c:v>
                </c:pt>
                <c:pt idx="27">
                  <c:v>6.0</c:v>
                </c:pt>
                <c:pt idx="28">
                  <c:v>7.0</c:v>
                </c:pt>
                <c:pt idx="29">
                  <c:v>8.0</c:v>
                </c:pt>
                <c:pt idx="30">
                  <c:v>9.0</c:v>
                </c:pt>
                <c:pt idx="31">
                  <c:v>10.0</c:v>
                </c:pt>
              </c:numCache>
            </c:numRef>
          </c:cat>
          <c:val>
            <c:numRef>
              <c:f>[0]!A_Ave</c:f>
              <c:numCache>
                <c:formatCode>0.000</c:formatCode>
                <c:ptCount val="10"/>
                <c:pt idx="0">
                  <c:v>12.11666666666667</c:v>
                </c:pt>
                <c:pt idx="1">
                  <c:v>12.11666666666667</c:v>
                </c:pt>
                <c:pt idx="2">
                  <c:v>12.11666666666667</c:v>
                </c:pt>
                <c:pt idx="3">
                  <c:v>12.11666666666667</c:v>
                </c:pt>
                <c:pt idx="4">
                  <c:v>12.1</c:v>
                </c:pt>
                <c:pt idx="5">
                  <c:v>12.08333333333333</c:v>
                </c:pt>
                <c:pt idx="6">
                  <c:v>12.11666666666667</c:v>
                </c:pt>
                <c:pt idx="7">
                  <c:v>12.05</c:v>
                </c:pt>
                <c:pt idx="8">
                  <c:v>12.11666666666667</c:v>
                </c:pt>
                <c:pt idx="9">
                  <c:v>12.08333333333333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GAGERR!$B$41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2">
                  <c:v>1.0</c:v>
                </c:pt>
                <c:pt idx="23">
                  <c:v>2.0</c:v>
                </c:pt>
                <c:pt idx="24">
                  <c:v>3.0</c:v>
                </c:pt>
                <c:pt idx="25">
                  <c:v>4.0</c:v>
                </c:pt>
                <c:pt idx="26">
                  <c:v>5.0</c:v>
                </c:pt>
                <c:pt idx="27">
                  <c:v>6.0</c:v>
                </c:pt>
                <c:pt idx="28">
                  <c:v>7.0</c:v>
                </c:pt>
                <c:pt idx="29">
                  <c:v>8.0</c:v>
                </c:pt>
                <c:pt idx="30">
                  <c:v>9.0</c:v>
                </c:pt>
                <c:pt idx="31">
                  <c:v>10.0</c:v>
                </c:pt>
              </c:numCache>
            </c:numRef>
          </c:cat>
          <c:val>
            <c:numRef>
              <c:f>[0]!B_Ave</c:f>
              <c:numCache>
                <c:formatCode>General</c:formatCode>
                <c:ptCount val="21"/>
                <c:pt idx="11" formatCode="0.000">
                  <c:v>12.11666666666667</c:v>
                </c:pt>
                <c:pt idx="12" formatCode="0.000">
                  <c:v>12.11666666666667</c:v>
                </c:pt>
                <c:pt idx="13" formatCode="0.000">
                  <c:v>12.11666666666667</c:v>
                </c:pt>
                <c:pt idx="14" formatCode="0.000">
                  <c:v>12.08333333333333</c:v>
                </c:pt>
                <c:pt idx="15" formatCode="0.000">
                  <c:v>12.1</c:v>
                </c:pt>
                <c:pt idx="16" formatCode="0.000">
                  <c:v>12.06666666666667</c:v>
                </c:pt>
                <c:pt idx="17" formatCode="0.000">
                  <c:v>12.11666666666667</c:v>
                </c:pt>
                <c:pt idx="18" formatCode="0.000">
                  <c:v>12.05</c:v>
                </c:pt>
                <c:pt idx="19" formatCode="0.000">
                  <c:v>12.11666666666667</c:v>
                </c:pt>
                <c:pt idx="20" formatCode="0.000">
                  <c:v>12.01666666666667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GAGERR!$B$47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2">
                  <c:v>1.0</c:v>
                </c:pt>
                <c:pt idx="23">
                  <c:v>2.0</c:v>
                </c:pt>
                <c:pt idx="24">
                  <c:v>3.0</c:v>
                </c:pt>
                <c:pt idx="25">
                  <c:v>4.0</c:v>
                </c:pt>
                <c:pt idx="26">
                  <c:v>5.0</c:v>
                </c:pt>
                <c:pt idx="27">
                  <c:v>6.0</c:v>
                </c:pt>
                <c:pt idx="28">
                  <c:v>7.0</c:v>
                </c:pt>
                <c:pt idx="29">
                  <c:v>8.0</c:v>
                </c:pt>
                <c:pt idx="30">
                  <c:v>9.0</c:v>
                </c:pt>
                <c:pt idx="31">
                  <c:v>10.0</c:v>
                </c:pt>
              </c:numCache>
            </c:numRef>
          </c:cat>
          <c:val>
            <c:numRef>
              <c:f>[0]!C_Ave</c:f>
              <c:numCache>
                <c:formatCode>General</c:formatCode>
                <c:ptCount val="32"/>
                <c:pt idx="22" formatCode="0.000">
                  <c:v>12.06666666666667</c:v>
                </c:pt>
                <c:pt idx="23" formatCode="0.000">
                  <c:v>12.11666666666667</c:v>
                </c:pt>
                <c:pt idx="24" formatCode="0.000">
                  <c:v>12.11666666666667</c:v>
                </c:pt>
                <c:pt idx="25" formatCode="0.000">
                  <c:v>12.01666666666667</c:v>
                </c:pt>
                <c:pt idx="26" formatCode="0.000">
                  <c:v>12.1</c:v>
                </c:pt>
                <c:pt idx="27" formatCode="0.000">
                  <c:v>12.06666666666667</c:v>
                </c:pt>
                <c:pt idx="28" formatCode="0.000">
                  <c:v>12.11666666666667</c:v>
                </c:pt>
                <c:pt idx="29" formatCode="0.000">
                  <c:v>12.05</c:v>
                </c:pt>
                <c:pt idx="30" formatCode="0.000">
                  <c:v>12.11666666666667</c:v>
                </c:pt>
                <c:pt idx="31" formatCode="0.000">
                  <c:v>12.01666666666667</c:v>
                </c:pt>
              </c:numCache>
            </c:numRef>
          </c:val>
          <c:smooth val="0"/>
        </c:ser>
        <c:ser>
          <c:idx val="3"/>
          <c:order val="3"/>
          <c:tx>
            <c:v>LCS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2">
                  <c:v>1.0</c:v>
                </c:pt>
                <c:pt idx="23">
                  <c:v>2.0</c:v>
                </c:pt>
                <c:pt idx="24">
                  <c:v>3.0</c:v>
                </c:pt>
                <c:pt idx="25">
                  <c:v>4.0</c:v>
                </c:pt>
                <c:pt idx="26">
                  <c:v>5.0</c:v>
                </c:pt>
                <c:pt idx="27">
                  <c:v>6.0</c:v>
                </c:pt>
                <c:pt idx="28">
                  <c:v>7.0</c:v>
                </c:pt>
                <c:pt idx="29">
                  <c:v>8.0</c:v>
                </c:pt>
                <c:pt idx="30">
                  <c:v>9.0</c:v>
                </c:pt>
                <c:pt idx="31">
                  <c:v>10.0</c:v>
                </c:pt>
              </c:numCache>
            </c:numRef>
          </c:cat>
          <c:val>
            <c:numRef>
              <c:f>([0]!A_AUCL,[0]!B_AUCL,[0]!C_AUCL)</c:f>
              <c:numCache>
                <c:formatCode>0.000</c:formatCode>
                <c:ptCount val="33"/>
                <c:pt idx="0">
                  <c:v>12.238335</c:v>
                </c:pt>
                <c:pt idx="1">
                  <c:v>12.238335</c:v>
                </c:pt>
                <c:pt idx="2">
                  <c:v>12.238335</c:v>
                </c:pt>
                <c:pt idx="3">
                  <c:v>12.238335</c:v>
                </c:pt>
                <c:pt idx="4">
                  <c:v>12.238335</c:v>
                </c:pt>
                <c:pt idx="5">
                  <c:v>12.238335</c:v>
                </c:pt>
                <c:pt idx="6">
                  <c:v>12.238335</c:v>
                </c:pt>
                <c:pt idx="7">
                  <c:v>12.238335</c:v>
                </c:pt>
                <c:pt idx="8">
                  <c:v>12.238335</c:v>
                </c:pt>
                <c:pt idx="9">
                  <c:v>12.238335</c:v>
                </c:pt>
                <c:pt idx="10">
                  <c:v>12.238335</c:v>
                </c:pt>
                <c:pt idx="11">
                  <c:v>12.238335</c:v>
                </c:pt>
                <c:pt idx="12">
                  <c:v>12.238335</c:v>
                </c:pt>
                <c:pt idx="13">
                  <c:v>12.238335</c:v>
                </c:pt>
                <c:pt idx="14">
                  <c:v>12.238335</c:v>
                </c:pt>
                <c:pt idx="15">
                  <c:v>12.238335</c:v>
                </c:pt>
                <c:pt idx="16">
                  <c:v>12.238335</c:v>
                </c:pt>
                <c:pt idx="17">
                  <c:v>12.238335</c:v>
                </c:pt>
                <c:pt idx="18">
                  <c:v>12.238335</c:v>
                </c:pt>
                <c:pt idx="19">
                  <c:v>12.238335</c:v>
                </c:pt>
                <c:pt idx="20">
                  <c:v>12.238335</c:v>
                </c:pt>
                <c:pt idx="21">
                  <c:v>12.238335</c:v>
                </c:pt>
                <c:pt idx="22">
                  <c:v>12.238335</c:v>
                </c:pt>
                <c:pt idx="23">
                  <c:v>12.238335</c:v>
                </c:pt>
                <c:pt idx="24">
                  <c:v>12.238335</c:v>
                </c:pt>
                <c:pt idx="25">
                  <c:v>12.238335</c:v>
                </c:pt>
                <c:pt idx="26">
                  <c:v>12.238335</c:v>
                </c:pt>
                <c:pt idx="27">
                  <c:v>12.238335</c:v>
                </c:pt>
                <c:pt idx="28">
                  <c:v>12.238335</c:v>
                </c:pt>
                <c:pt idx="29">
                  <c:v>12.238335</c:v>
                </c:pt>
                <c:pt idx="30">
                  <c:v>12.238335</c:v>
                </c:pt>
                <c:pt idx="31">
                  <c:v>12.238335</c:v>
                </c:pt>
              </c:numCache>
            </c:numRef>
          </c:val>
          <c:smooth val="0"/>
        </c:ser>
        <c:ser>
          <c:idx val="4"/>
          <c:order val="4"/>
          <c:tx>
            <c:v>Moyenne</c:v>
          </c:tx>
          <c:spPr>
            <a:ln w="25400">
              <a:solidFill>
                <a:srgbClr val="800080"/>
              </a:solidFill>
              <a:prstDash val="sysDash"/>
            </a:ln>
          </c:spPr>
          <c:marker>
            <c:symbol val="dot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2">
                  <c:v>1.0</c:v>
                </c:pt>
                <c:pt idx="23">
                  <c:v>2.0</c:v>
                </c:pt>
                <c:pt idx="24">
                  <c:v>3.0</c:v>
                </c:pt>
                <c:pt idx="25">
                  <c:v>4.0</c:v>
                </c:pt>
                <c:pt idx="26">
                  <c:v>5.0</c:v>
                </c:pt>
                <c:pt idx="27">
                  <c:v>6.0</c:v>
                </c:pt>
                <c:pt idx="28">
                  <c:v>7.0</c:v>
                </c:pt>
                <c:pt idx="29">
                  <c:v>8.0</c:v>
                </c:pt>
                <c:pt idx="30">
                  <c:v>9.0</c:v>
                </c:pt>
                <c:pt idx="31">
                  <c:v>10.0</c:v>
                </c:pt>
              </c:numCache>
            </c:numRef>
          </c:cat>
          <c:val>
            <c:numRef>
              <c:f>([0]!A_Xbar,[0]!B_Xbar,[0]!C_Xbar)</c:f>
              <c:numCache>
                <c:formatCode>0.000</c:formatCode>
                <c:ptCount val="33"/>
                <c:pt idx="0">
                  <c:v>12.09</c:v>
                </c:pt>
                <c:pt idx="1">
                  <c:v>12.09</c:v>
                </c:pt>
                <c:pt idx="2">
                  <c:v>12.09</c:v>
                </c:pt>
                <c:pt idx="3">
                  <c:v>12.09</c:v>
                </c:pt>
                <c:pt idx="4">
                  <c:v>12.09</c:v>
                </c:pt>
                <c:pt idx="5">
                  <c:v>12.09</c:v>
                </c:pt>
                <c:pt idx="6">
                  <c:v>12.09</c:v>
                </c:pt>
                <c:pt idx="7">
                  <c:v>12.09</c:v>
                </c:pt>
                <c:pt idx="8">
                  <c:v>12.09</c:v>
                </c:pt>
                <c:pt idx="9">
                  <c:v>12.09</c:v>
                </c:pt>
                <c:pt idx="10">
                  <c:v>12.09</c:v>
                </c:pt>
                <c:pt idx="11">
                  <c:v>12.09</c:v>
                </c:pt>
                <c:pt idx="12">
                  <c:v>12.09</c:v>
                </c:pt>
                <c:pt idx="13">
                  <c:v>12.09</c:v>
                </c:pt>
                <c:pt idx="14">
                  <c:v>12.09</c:v>
                </c:pt>
                <c:pt idx="15">
                  <c:v>12.09</c:v>
                </c:pt>
                <c:pt idx="16">
                  <c:v>12.09</c:v>
                </c:pt>
                <c:pt idx="17">
                  <c:v>12.09</c:v>
                </c:pt>
                <c:pt idx="18">
                  <c:v>12.09</c:v>
                </c:pt>
                <c:pt idx="19">
                  <c:v>12.09</c:v>
                </c:pt>
                <c:pt idx="20">
                  <c:v>12.09</c:v>
                </c:pt>
                <c:pt idx="21">
                  <c:v>12.09</c:v>
                </c:pt>
                <c:pt idx="22">
                  <c:v>12.09</c:v>
                </c:pt>
                <c:pt idx="23">
                  <c:v>12.09</c:v>
                </c:pt>
                <c:pt idx="24">
                  <c:v>12.09</c:v>
                </c:pt>
                <c:pt idx="25">
                  <c:v>12.09</c:v>
                </c:pt>
                <c:pt idx="26">
                  <c:v>12.09</c:v>
                </c:pt>
                <c:pt idx="27">
                  <c:v>12.09</c:v>
                </c:pt>
                <c:pt idx="28">
                  <c:v>12.09</c:v>
                </c:pt>
                <c:pt idx="29">
                  <c:v>12.09</c:v>
                </c:pt>
                <c:pt idx="30">
                  <c:v>12.09</c:v>
                </c:pt>
                <c:pt idx="31">
                  <c:v>12.09</c:v>
                </c:pt>
              </c:numCache>
            </c:numRef>
          </c:val>
          <c:smooth val="0"/>
        </c:ser>
        <c:ser>
          <c:idx val="5"/>
          <c:order val="5"/>
          <c:tx>
            <c:v>LCI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([0]!Ax_Range,[0]!Bx_Range,[0]!Cx_Range)</c:f>
              <c:numCache>
                <c:formatCode>General</c:formatCode>
                <c:ptCount val="3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2">
                  <c:v>1.0</c:v>
                </c:pt>
                <c:pt idx="23">
                  <c:v>2.0</c:v>
                </c:pt>
                <c:pt idx="24">
                  <c:v>3.0</c:v>
                </c:pt>
                <c:pt idx="25">
                  <c:v>4.0</c:v>
                </c:pt>
                <c:pt idx="26">
                  <c:v>5.0</c:v>
                </c:pt>
                <c:pt idx="27">
                  <c:v>6.0</c:v>
                </c:pt>
                <c:pt idx="28">
                  <c:v>7.0</c:v>
                </c:pt>
                <c:pt idx="29">
                  <c:v>8.0</c:v>
                </c:pt>
                <c:pt idx="30">
                  <c:v>9.0</c:v>
                </c:pt>
                <c:pt idx="31">
                  <c:v>10.0</c:v>
                </c:pt>
              </c:numCache>
            </c:numRef>
          </c:cat>
          <c:val>
            <c:numRef>
              <c:f>([0]!A_ALCL,[0]!B_ALCL,[0]!C_ALCL)</c:f>
              <c:numCache>
                <c:formatCode>0.000</c:formatCode>
                <c:ptCount val="33"/>
                <c:pt idx="0">
                  <c:v>11.941665</c:v>
                </c:pt>
                <c:pt idx="1">
                  <c:v>11.941665</c:v>
                </c:pt>
                <c:pt idx="2">
                  <c:v>11.941665</c:v>
                </c:pt>
                <c:pt idx="3">
                  <c:v>11.941665</c:v>
                </c:pt>
                <c:pt idx="4">
                  <c:v>11.941665</c:v>
                </c:pt>
                <c:pt idx="5">
                  <c:v>11.941665</c:v>
                </c:pt>
                <c:pt idx="6">
                  <c:v>11.941665</c:v>
                </c:pt>
                <c:pt idx="7">
                  <c:v>11.941665</c:v>
                </c:pt>
                <c:pt idx="8">
                  <c:v>11.941665</c:v>
                </c:pt>
                <c:pt idx="9">
                  <c:v>11.941665</c:v>
                </c:pt>
                <c:pt idx="10">
                  <c:v>11.941665</c:v>
                </c:pt>
                <c:pt idx="11">
                  <c:v>11.941665</c:v>
                </c:pt>
                <c:pt idx="12">
                  <c:v>11.941665</c:v>
                </c:pt>
                <c:pt idx="13">
                  <c:v>11.941665</c:v>
                </c:pt>
                <c:pt idx="14">
                  <c:v>11.941665</c:v>
                </c:pt>
                <c:pt idx="15">
                  <c:v>11.941665</c:v>
                </c:pt>
                <c:pt idx="16">
                  <c:v>11.941665</c:v>
                </c:pt>
                <c:pt idx="17">
                  <c:v>11.941665</c:v>
                </c:pt>
                <c:pt idx="18">
                  <c:v>11.941665</c:v>
                </c:pt>
                <c:pt idx="19">
                  <c:v>11.941665</c:v>
                </c:pt>
                <c:pt idx="20">
                  <c:v>11.941665</c:v>
                </c:pt>
                <c:pt idx="21">
                  <c:v>11.941665</c:v>
                </c:pt>
                <c:pt idx="22">
                  <c:v>11.941665</c:v>
                </c:pt>
                <c:pt idx="23">
                  <c:v>11.941665</c:v>
                </c:pt>
                <c:pt idx="24">
                  <c:v>11.941665</c:v>
                </c:pt>
                <c:pt idx="25">
                  <c:v>11.941665</c:v>
                </c:pt>
                <c:pt idx="26">
                  <c:v>11.941665</c:v>
                </c:pt>
                <c:pt idx="27">
                  <c:v>11.941665</c:v>
                </c:pt>
                <c:pt idx="28">
                  <c:v>11.941665</c:v>
                </c:pt>
                <c:pt idx="29">
                  <c:v>11.941665</c:v>
                </c:pt>
                <c:pt idx="30">
                  <c:v>11.941665</c:v>
                </c:pt>
                <c:pt idx="31">
                  <c:v>11.941665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78283776"/>
        <c:axId val="-1282881168"/>
      </c:lineChart>
      <c:catAx>
        <c:axId val="-127828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Numéro de l'essai</a:t>
                </a:r>
              </a:p>
            </c:rich>
          </c:tx>
          <c:layout>
            <c:manualLayout>
              <c:xMode val="edge"/>
              <c:yMode val="edge"/>
              <c:x val="0.476858345021038"/>
              <c:y val="0.8179784256259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288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288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MOYENNE</a:t>
                </a:r>
              </a:p>
            </c:rich>
          </c:tx>
          <c:layout>
            <c:manualLayout>
              <c:xMode val="edge"/>
              <c:yMode val="edge"/>
              <c:x val="0.0224403927068726"/>
              <c:y val="0.3640453432730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782837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3001402524544"/>
          <c:y val="0.916854938613653"/>
          <c:w val="0.683029453015432"/>
          <c:h val="0.0674158043098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noFill/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3" r="0.750000000000003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750" b="1" i="0" u="none" strike="noStrike" kern="1200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Comparaison</a:t>
            </a:r>
            <a:r>
              <a:rPr lang="fr-FR"/>
              <a:t> </a:t>
            </a:r>
            <a:r>
              <a:rPr lang="fr-FR" sz="1750" b="1" i="0" u="none" strike="noStrike" kern="1200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des</a:t>
            </a:r>
            <a:r>
              <a:rPr lang="fr-FR"/>
              <a:t> </a:t>
            </a:r>
            <a:r>
              <a:rPr lang="fr-FR" sz="1750" b="1" i="0" u="none" strike="noStrike" kern="1200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moyennes par opérateur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4332016012826"/>
          <c:y val="0.14363013036303"/>
          <c:w val="0.797776091303855"/>
          <c:h val="0.5398493834455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GAGERR!$B$35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GAGERR!$C$39:$L$39</c:f>
              <c:numCache>
                <c:formatCode>0.000</c:formatCode>
                <c:ptCount val="10"/>
                <c:pt idx="0">
                  <c:v>12.11666666666667</c:v>
                </c:pt>
                <c:pt idx="1">
                  <c:v>12.11666666666667</c:v>
                </c:pt>
                <c:pt idx="2">
                  <c:v>12.11666666666667</c:v>
                </c:pt>
                <c:pt idx="3">
                  <c:v>12.11666666666667</c:v>
                </c:pt>
                <c:pt idx="4">
                  <c:v>12.1</c:v>
                </c:pt>
                <c:pt idx="5">
                  <c:v>12.08333333333333</c:v>
                </c:pt>
                <c:pt idx="6">
                  <c:v>12.11666666666667</c:v>
                </c:pt>
                <c:pt idx="7">
                  <c:v>12.05</c:v>
                </c:pt>
                <c:pt idx="8">
                  <c:v>12.11666666666667</c:v>
                </c:pt>
                <c:pt idx="9">
                  <c:v>12.08333333333333</c:v>
                </c:pt>
              </c:numCache>
            </c:numRef>
          </c:val>
        </c:ser>
        <c:ser>
          <c:idx val="1"/>
          <c:order val="1"/>
          <c:tx>
            <c:strRef>
              <c:f>GAGERR!$B$41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val>
            <c:numRef>
              <c:f>GAGERR!$C$45:$L$45</c:f>
              <c:numCache>
                <c:formatCode>0.000</c:formatCode>
                <c:ptCount val="10"/>
                <c:pt idx="0">
                  <c:v>12.11666666666667</c:v>
                </c:pt>
                <c:pt idx="1">
                  <c:v>12.11666666666667</c:v>
                </c:pt>
                <c:pt idx="2">
                  <c:v>12.11666666666667</c:v>
                </c:pt>
                <c:pt idx="3">
                  <c:v>12.08333333333333</c:v>
                </c:pt>
                <c:pt idx="4">
                  <c:v>12.1</c:v>
                </c:pt>
                <c:pt idx="5">
                  <c:v>12.06666666666667</c:v>
                </c:pt>
                <c:pt idx="6">
                  <c:v>12.11666666666667</c:v>
                </c:pt>
                <c:pt idx="7">
                  <c:v>12.05</c:v>
                </c:pt>
                <c:pt idx="8">
                  <c:v>12.11666666666667</c:v>
                </c:pt>
                <c:pt idx="9">
                  <c:v>12.01666666666667</c:v>
                </c:pt>
              </c:numCache>
            </c:numRef>
          </c:val>
        </c:ser>
        <c:ser>
          <c:idx val="2"/>
          <c:order val="2"/>
          <c:tx>
            <c:strRef>
              <c:f>GAGERR!$B$47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GAGERR!$C$51:$L$51</c:f>
              <c:numCache>
                <c:formatCode>0.000</c:formatCode>
                <c:ptCount val="10"/>
                <c:pt idx="0">
                  <c:v>12.06666666666667</c:v>
                </c:pt>
                <c:pt idx="1">
                  <c:v>12.11666666666667</c:v>
                </c:pt>
                <c:pt idx="2">
                  <c:v>12.11666666666667</c:v>
                </c:pt>
                <c:pt idx="3">
                  <c:v>12.01666666666667</c:v>
                </c:pt>
                <c:pt idx="4">
                  <c:v>12.1</c:v>
                </c:pt>
                <c:pt idx="5">
                  <c:v>12.06666666666667</c:v>
                </c:pt>
                <c:pt idx="6">
                  <c:v>12.11666666666667</c:v>
                </c:pt>
                <c:pt idx="7">
                  <c:v>12.05</c:v>
                </c:pt>
                <c:pt idx="8">
                  <c:v>12.11666666666667</c:v>
                </c:pt>
                <c:pt idx="9">
                  <c:v>12.01666666666667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09126848"/>
        <c:axId val="-1347452768"/>
      </c:barChart>
      <c:catAx>
        <c:axId val="-1309126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-1347452768"/>
        <c:crosses val="autoZero"/>
        <c:auto val="1"/>
        <c:lblAlgn val="ctr"/>
        <c:lblOffset val="100"/>
        <c:noMultiLvlLbl val="0"/>
      </c:catAx>
      <c:valAx>
        <c:axId val="-1347452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 sz="1450" b="1" i="0" u="none" strike="noStrike" kern="1200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MOYENNE</a:t>
                </a:r>
              </a:p>
            </c:rich>
          </c:tx>
          <c:layout>
            <c:manualLayout>
              <c:xMode val="edge"/>
              <c:yMode val="edge"/>
              <c:x val="0.02789189268332"/>
              <c:y val="0.279025020662228"/>
            </c:manualLayout>
          </c:layout>
          <c:overlay val="0"/>
          <c:spPr>
            <a:noFill/>
          </c:spPr>
        </c:title>
        <c:numFmt formatCode="0.000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-1309126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noFill/>
    </a:ln>
  </c:spPr>
  <c:txPr>
    <a:bodyPr/>
    <a:lstStyle/>
    <a:p>
      <a:pPr algn="ctr">
        <a:defRPr lang="fr-FR" sz="1450" b="0" i="0" u="none" strike="noStrike" kern="1200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" l="0.700000000000001" r="0.700000000000001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image" Target="../media/image1.emf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31</xdr:row>
      <xdr:rowOff>23993</xdr:rowOff>
    </xdr:from>
    <xdr:to>
      <xdr:col>45</xdr:col>
      <xdr:colOff>0</xdr:colOff>
      <xdr:row>56</xdr:row>
      <xdr:rowOff>121832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56</xdr:row>
      <xdr:rowOff>118193</xdr:rowOff>
    </xdr:from>
    <xdr:to>
      <xdr:col>44</xdr:col>
      <xdr:colOff>111241</xdr:colOff>
      <xdr:row>81</xdr:row>
      <xdr:rowOff>77529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263103</xdr:colOff>
      <xdr:row>81</xdr:row>
      <xdr:rowOff>66375</xdr:rowOff>
    </xdr:from>
    <xdr:to>
      <xdr:col>44</xdr:col>
      <xdr:colOff>107910</xdr:colOff>
      <xdr:row>108</xdr:row>
      <xdr:rowOff>99602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39</xdr:col>
      <xdr:colOff>0</xdr:colOff>
      <xdr:row>12</xdr:row>
      <xdr:rowOff>0</xdr:rowOff>
    </xdr:from>
    <xdr:to>
      <xdr:col>43</xdr:col>
      <xdr:colOff>739140</xdr:colOff>
      <xdr:row>16</xdr:row>
      <xdr:rowOff>20320</xdr:rowOff>
    </xdr:to>
    <xdr:pic>
      <xdr:nvPicPr>
        <xdr:cNvPr id="7" name="Picture 6" descr="../Getting%20into%20your%20customer's%20head/Easygiga/Logo/doqs-sarl.pdf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94100" y="1511300"/>
          <a:ext cx="3482340" cy="718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nd_n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_new"/>
    </sheetNames>
    <definedNames>
      <definedName name="C_xRang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9"/>
  <sheetViews>
    <sheetView topLeftCell="A12" workbookViewId="0">
      <selection activeCell="M18" sqref="M18"/>
    </sheetView>
  </sheetViews>
  <sheetFormatPr baseColWidth="10" defaultColWidth="8.83203125" defaultRowHeight="13" x14ac:dyDescent="0.15"/>
  <cols>
    <col min="1" max="1" width="11.1640625" customWidth="1"/>
    <col min="2" max="4" width="7.5" customWidth="1"/>
    <col min="5" max="11" width="6.5" customWidth="1"/>
    <col min="12" max="12" width="6.1640625" customWidth="1"/>
    <col min="13" max="13" width="8" bestFit="1" customWidth="1"/>
  </cols>
  <sheetData>
    <row r="6" spans="1:14" x14ac:dyDescent="0.15">
      <c r="N6" s="61"/>
    </row>
    <row r="7" spans="1:14" x14ac:dyDescent="0.15">
      <c r="N7" s="61"/>
    </row>
    <row r="14" spans="1:14" ht="14" thickBot="1" x14ac:dyDescent="0.2">
      <c r="A14" s="35" t="s">
        <v>19</v>
      </c>
      <c r="B14" s="48">
        <f>GAGERR!C28</f>
        <v>10</v>
      </c>
      <c r="C14" s="34" t="s">
        <v>39</v>
      </c>
      <c r="D14" s="1"/>
      <c r="E14" s="48">
        <f>GAGERR!F28</f>
        <v>3</v>
      </c>
    </row>
    <row r="15" spans="1:14" ht="14" thickBot="1" x14ac:dyDescent="0.2">
      <c r="A15" s="7"/>
      <c r="B15" s="1"/>
      <c r="C15" s="34" t="s">
        <v>40</v>
      </c>
      <c r="D15" s="1"/>
      <c r="E15" s="48">
        <f>GAGERR!F30</f>
        <v>3</v>
      </c>
    </row>
    <row r="16" spans="1:14" ht="14" thickTop="1" x14ac:dyDescent="0.15">
      <c r="A16" s="2"/>
      <c r="B16" s="3"/>
      <c r="C16" s="4"/>
      <c r="D16" s="4"/>
      <c r="E16" s="4"/>
      <c r="F16" s="4"/>
      <c r="G16" s="4"/>
      <c r="H16" s="4"/>
      <c r="I16" s="4"/>
      <c r="J16" s="4"/>
      <c r="K16" s="5"/>
      <c r="L16" s="3"/>
      <c r="M16" s="5"/>
    </row>
    <row r="17" spans="1:14" x14ac:dyDescent="0.15">
      <c r="A17" s="6" t="s">
        <v>1</v>
      </c>
      <c r="B17" s="7"/>
      <c r="C17" s="1"/>
      <c r="D17" s="1"/>
      <c r="E17" s="1"/>
      <c r="F17" s="1"/>
      <c r="G17" s="1"/>
      <c r="H17" s="1"/>
      <c r="I17" s="1"/>
      <c r="J17" s="1"/>
      <c r="K17" s="8"/>
      <c r="L17" s="1"/>
      <c r="M17" s="9"/>
    </row>
    <row r="18" spans="1:14" ht="14" thickBot="1" x14ac:dyDescent="0.2">
      <c r="A18" s="10" t="s">
        <v>2</v>
      </c>
      <c r="B18" s="11">
        <v>1</v>
      </c>
      <c r="C18" s="12">
        <v>2</v>
      </c>
      <c r="D18" s="13">
        <v>3</v>
      </c>
      <c r="E18" s="13">
        <v>4</v>
      </c>
      <c r="F18" s="12">
        <v>5</v>
      </c>
      <c r="G18" s="13">
        <v>6</v>
      </c>
      <c r="H18" s="13">
        <v>7</v>
      </c>
      <c r="I18" s="12">
        <v>8</v>
      </c>
      <c r="J18" s="13">
        <v>9</v>
      </c>
      <c r="K18" s="14">
        <v>10</v>
      </c>
      <c r="L18" s="15"/>
      <c r="M18" s="16" t="s">
        <v>3</v>
      </c>
    </row>
    <row r="19" spans="1:14" ht="14" thickTop="1" x14ac:dyDescent="0.15">
      <c r="A19" s="6" t="s">
        <v>4</v>
      </c>
      <c r="B19" s="17"/>
      <c r="C19" s="18"/>
      <c r="D19" s="19"/>
      <c r="E19" s="19"/>
      <c r="F19" s="18"/>
      <c r="G19" s="19"/>
      <c r="H19" s="18"/>
      <c r="I19" s="18"/>
      <c r="J19" s="18"/>
      <c r="K19" s="20"/>
      <c r="L19" s="1"/>
      <c r="M19" s="20"/>
    </row>
    <row r="20" spans="1:14" ht="14" thickBot="1" x14ac:dyDescent="0.2">
      <c r="A20" s="6">
        <v>1</v>
      </c>
      <c r="B20" s="57">
        <f>IF(B$18&lt;=$B$14,GAGERR!C36,"")</f>
        <v>12.1</v>
      </c>
      <c r="C20" s="58">
        <f>IF(C$18&lt;=$B$14,GAGERR!D36,"")</f>
        <v>12.1</v>
      </c>
      <c r="D20" s="58">
        <f>IF(D$18&lt;=$B$14,GAGERR!E36,"")</f>
        <v>12.1</v>
      </c>
      <c r="E20" s="58">
        <f>IF(E$18&lt;=$B$14,GAGERR!F36,"")</f>
        <v>12.1</v>
      </c>
      <c r="F20" s="58">
        <f>IF(F$18&lt;=$B$14,GAGERR!G36,"")</f>
        <v>12.1</v>
      </c>
      <c r="G20" s="58">
        <f>IF(G$18&lt;=$B$14,GAGERR!H36,"")</f>
        <v>12</v>
      </c>
      <c r="H20" s="58">
        <f>IF(H$18&lt;=$B$14,GAGERR!I36,"")</f>
        <v>12.1</v>
      </c>
      <c r="I20" s="58">
        <f>IF(I$18&lt;=$B$14,GAGERR!J36,"")</f>
        <v>12.1</v>
      </c>
      <c r="J20" s="58">
        <f>IF(J$18&lt;=$B$14,GAGERR!K36,"")</f>
        <v>12.1</v>
      </c>
      <c r="K20" s="48">
        <f>IF(K$18&lt;=$B$14,GAGERR!L36,"")</f>
        <v>12</v>
      </c>
      <c r="L20" s="7"/>
      <c r="M20" s="36">
        <f>SUM(B20:K20)/$B$14</f>
        <v>12.079999999999998</v>
      </c>
    </row>
    <row r="21" spans="1:14" ht="14" thickBot="1" x14ac:dyDescent="0.2">
      <c r="A21" s="22">
        <v>2</v>
      </c>
      <c r="B21" s="57">
        <f>IF(B$18&lt;=$B$14,GAGERR!C37,"")</f>
        <v>12.2</v>
      </c>
      <c r="C21" s="58">
        <f>IF(C$18&lt;=$B$14,GAGERR!D37,"")</f>
        <v>12.2</v>
      </c>
      <c r="D21" s="58">
        <f>IF(D$18&lt;=$B$14,GAGERR!E37,"")</f>
        <v>12.2</v>
      </c>
      <c r="E21" s="58">
        <f>IF(E$18&lt;=$B$14,GAGERR!F37,"")</f>
        <v>12.2</v>
      </c>
      <c r="F21" s="58">
        <f>IF(F$18&lt;=$B$14,GAGERR!G37,"")</f>
        <v>12.2</v>
      </c>
      <c r="G21" s="58">
        <f>IF(G$18&lt;=$B$14,GAGERR!H37,"")</f>
        <v>12.2</v>
      </c>
      <c r="H21" s="58">
        <f>IF(H$18&lt;=$B$14,GAGERR!I37,"")</f>
        <v>12.2</v>
      </c>
      <c r="I21" s="58">
        <f>IF(I$18&lt;=$B$14,GAGERR!J37,"")</f>
        <v>12</v>
      </c>
      <c r="J21" s="58">
        <f>IF(J$18&lt;=$B$14,GAGERR!K37,"")</f>
        <v>12.2</v>
      </c>
      <c r="K21" s="48">
        <f>IF(K$18&lt;=$B$14,GAGERR!L37,"")</f>
        <v>12.2</v>
      </c>
      <c r="L21" s="7"/>
      <c r="M21" s="36">
        <f>SUM(B21:K21)/$B$14</f>
        <v>12.180000000000001</v>
      </c>
    </row>
    <row r="22" spans="1:14" ht="14" thickBot="1" x14ac:dyDescent="0.2">
      <c r="A22" s="23">
        <v>3</v>
      </c>
      <c r="B22" s="59">
        <f>IF(B$18&lt;=$B$14,IF($E$15&gt;2,GAGERR!C38,""),"")</f>
        <v>12.05</v>
      </c>
      <c r="C22" s="60">
        <f>IF(C$18&lt;=$B$14,IF($E$15&gt;2,GAGERR!D38,""),"")</f>
        <v>12.05</v>
      </c>
      <c r="D22" s="60">
        <f>IF(D$18&lt;=$B$14,IF($E$15&gt;2,GAGERR!E38,""),"")</f>
        <v>12.05</v>
      </c>
      <c r="E22" s="60">
        <f>IF(E$18&lt;=$B$14,IF($E$15&gt;2,GAGERR!F38,""),"")</f>
        <v>12.05</v>
      </c>
      <c r="F22" s="60">
        <f>IF(F$18&lt;=$B$14,IF($E$15&gt;2,GAGERR!G38,""),"")</f>
        <v>12</v>
      </c>
      <c r="G22" s="60">
        <f>IF(G$18&lt;=$B$14,IF($E$15&gt;2,GAGERR!H38,""),"")</f>
        <v>12.05</v>
      </c>
      <c r="H22" s="60">
        <f>IF(H$18&lt;=$B$14,IF($E$15&gt;2,GAGERR!I38,""),"")</f>
        <v>12.05</v>
      </c>
      <c r="I22" s="60">
        <f>IF(I$18&lt;=$B$14,IF($E$15&gt;2,GAGERR!J38,""),"")</f>
        <v>12.05</v>
      </c>
      <c r="J22" s="60">
        <f>IF(J$18&lt;=$B$14,IF($E$15&gt;2,GAGERR!K38,""),"")</f>
        <v>12.05</v>
      </c>
      <c r="K22" s="56">
        <f>IF(K$18&lt;=$B$14,IF($E$15&gt;2,GAGERR!L38,""),"")</f>
        <v>12.05</v>
      </c>
      <c r="L22" s="15"/>
      <c r="M22" s="36">
        <f>SUM(B22:K22)/$B$14</f>
        <v>12.044999999999998</v>
      </c>
    </row>
    <row r="23" spans="1:14" ht="14" thickTop="1" x14ac:dyDescent="0.15">
      <c r="A23" s="24" t="s">
        <v>5</v>
      </c>
      <c r="B23" s="62">
        <f>IF($B$14&gt;=B$18,IF($E$14&gt;0,AVERAGE(B20:B22),0),0)</f>
        <v>12.116666666666665</v>
      </c>
      <c r="C23" s="62">
        <f t="shared" ref="C23:K23" si="0">IF($B$14&gt;=C$18,IF($E$14&gt;0,AVERAGE(C20:C22),0),0)</f>
        <v>12.116666666666665</v>
      </c>
      <c r="D23" s="62">
        <f t="shared" si="0"/>
        <v>12.116666666666665</v>
      </c>
      <c r="E23" s="62">
        <f t="shared" si="0"/>
        <v>12.116666666666665</v>
      </c>
      <c r="F23" s="62">
        <f t="shared" si="0"/>
        <v>12.1</v>
      </c>
      <c r="G23" s="62">
        <f t="shared" si="0"/>
        <v>12.083333333333334</v>
      </c>
      <c r="H23" s="62">
        <f t="shared" si="0"/>
        <v>12.116666666666665</v>
      </c>
      <c r="I23" s="62">
        <f t="shared" si="0"/>
        <v>12.050000000000002</v>
      </c>
      <c r="J23" s="62">
        <f t="shared" si="0"/>
        <v>12.116666666666665</v>
      </c>
      <c r="K23" s="62">
        <f t="shared" si="0"/>
        <v>12.083333333333334</v>
      </c>
      <c r="L23" s="34" t="s">
        <v>20</v>
      </c>
      <c r="M23" s="36">
        <f>SUM(M20:M22)/E$15</f>
        <v>12.101666666666665</v>
      </c>
      <c r="N23">
        <f>SUM(B23:K23)/B$14</f>
        <v>12.101666666666663</v>
      </c>
    </row>
    <row r="24" spans="1:14" ht="14" thickBot="1" x14ac:dyDescent="0.2">
      <c r="A24" s="25" t="s">
        <v>6</v>
      </c>
      <c r="B24" s="54">
        <f>IF($B$14&gt;=B$18,MAX(B20:B22)-MIN(B20:B22),0)</f>
        <v>0.14999999999999858</v>
      </c>
      <c r="C24" s="55">
        <f>IF($B$14&gt;=C$18,MAX(C20:C22)-MIN(C20:C22),0)</f>
        <v>0.14999999999999858</v>
      </c>
      <c r="D24" s="55">
        <f t="shared" ref="D24:J24" si="1">IF($B$14&gt;=D$18,MAX(D20:D22)-MIN(D20:D22),0)</f>
        <v>0.14999999999999858</v>
      </c>
      <c r="E24" s="55">
        <f t="shared" si="1"/>
        <v>0.14999999999999858</v>
      </c>
      <c r="F24" s="55">
        <f t="shared" si="1"/>
        <v>0.19999999999999929</v>
      </c>
      <c r="G24" s="55">
        <f t="shared" si="1"/>
        <v>0.19999999999999929</v>
      </c>
      <c r="H24" s="55">
        <f t="shared" si="1"/>
        <v>0.14999999999999858</v>
      </c>
      <c r="I24" s="55">
        <f t="shared" si="1"/>
        <v>9.9999999999999645E-2</v>
      </c>
      <c r="J24" s="55">
        <f t="shared" si="1"/>
        <v>0.14999999999999858</v>
      </c>
      <c r="K24" s="38">
        <f>IF($B$14&gt;=K$18,MAX(K20:K22)-MIN(K20:K22),0)</f>
        <v>0.19999999999999929</v>
      </c>
      <c r="L24" s="26" t="s">
        <v>21</v>
      </c>
      <c r="M24" s="37">
        <f>SUM(B24:K24)/B14</f>
        <v>0.15999999999999889</v>
      </c>
    </row>
    <row r="25" spans="1:14" ht="14" thickTop="1" x14ac:dyDescent="0.15">
      <c r="A25" s="27" t="s">
        <v>7</v>
      </c>
      <c r="B25" s="28"/>
      <c r="C25" s="29"/>
      <c r="D25" s="29"/>
      <c r="E25" s="29"/>
      <c r="F25" s="29"/>
      <c r="G25" s="29"/>
      <c r="H25" s="29"/>
      <c r="I25" s="29"/>
      <c r="J25" s="29"/>
      <c r="K25" s="30"/>
      <c r="L25" s="50"/>
      <c r="M25" s="21"/>
    </row>
    <row r="26" spans="1:14" x14ac:dyDescent="0.15">
      <c r="A26" s="24">
        <v>1</v>
      </c>
      <c r="B26" s="46">
        <f>IF(B$18&lt;=$B$14,GAGERR!C42,"")</f>
        <v>12.1</v>
      </c>
      <c r="C26" s="40">
        <f>IF(C$18&lt;=$B$14,GAGERR!D42,"")</f>
        <v>12.1</v>
      </c>
      <c r="D26" s="40">
        <f>IF(D$18&lt;=$B$14,GAGERR!E42,"")</f>
        <v>12.1</v>
      </c>
      <c r="E26" s="40">
        <f>IF(E$18&lt;=$B$14,GAGERR!F42,"")</f>
        <v>12</v>
      </c>
      <c r="F26" s="40">
        <f>IF(F$18&lt;=$B$14,GAGERR!G42,"")</f>
        <v>12.1</v>
      </c>
      <c r="G26" s="40">
        <f>IF(G$18&lt;=$B$14,GAGERR!H42,"")</f>
        <v>12</v>
      </c>
      <c r="H26" s="40">
        <f>IF(H$18&lt;=$B$14,GAGERR!I42,"")</f>
        <v>12.1</v>
      </c>
      <c r="I26" s="40">
        <f>IF(I$18&lt;=$B$14,GAGERR!J42,"")</f>
        <v>12.1</v>
      </c>
      <c r="J26" s="40">
        <f>IF(J$18&lt;=$B$14,GAGERR!K42,"")</f>
        <v>12.1</v>
      </c>
      <c r="K26" s="41">
        <f>IF(K$18&lt;=$B$14,GAGERR!L42,"")</f>
        <v>12</v>
      </c>
      <c r="L26" s="7"/>
      <c r="M26" s="36">
        <f>SUM(B26:K26)/$B$14</f>
        <v>12.069999999999999</v>
      </c>
    </row>
    <row r="27" spans="1:14" x14ac:dyDescent="0.15">
      <c r="A27" s="22">
        <v>2</v>
      </c>
      <c r="B27" s="47">
        <f>IF(B$18&lt;=$B$14,GAGERR!C43,"")</f>
        <v>12.2</v>
      </c>
      <c r="C27" s="43">
        <f>IF(C$18&lt;=$B$14,GAGERR!D43,"")</f>
        <v>12.2</v>
      </c>
      <c r="D27" s="43">
        <f>IF(D$18&lt;=$B$14,GAGERR!E43,"")</f>
        <v>12.2</v>
      </c>
      <c r="E27" s="43">
        <f>IF(E$18&lt;=$B$14,GAGERR!F43,"")</f>
        <v>12.2</v>
      </c>
      <c r="F27" s="43">
        <f>IF(F$18&lt;=$B$14,GAGERR!G43,"")</f>
        <v>12.2</v>
      </c>
      <c r="G27" s="43">
        <f>IF(G$18&lt;=$B$14,GAGERR!H43,"")</f>
        <v>12.2</v>
      </c>
      <c r="H27" s="43">
        <f>IF(H$18&lt;=$B$14,GAGERR!I43,"")</f>
        <v>12.2</v>
      </c>
      <c r="I27" s="43">
        <f>IF(I$18&lt;=$B$14,GAGERR!J43,"")</f>
        <v>12</v>
      </c>
      <c r="J27" s="43">
        <f>IF(J$18&lt;=$B$14,GAGERR!K43,"")</f>
        <v>12.2</v>
      </c>
      <c r="K27" s="45">
        <f>IF(K$18&lt;=$B$14,GAGERR!L43,"")</f>
        <v>12</v>
      </c>
      <c r="L27" s="7"/>
      <c r="M27" s="36">
        <f>SUM(B27:K27)/$B$14</f>
        <v>12.16</v>
      </c>
    </row>
    <row r="28" spans="1:14" ht="14" thickBot="1" x14ac:dyDescent="0.2">
      <c r="A28" s="23">
        <v>3</v>
      </c>
      <c r="B28" s="42">
        <f>IF(B$18&lt;=$B$14,IF($E$15&gt;2,GAGERR!C44,""),"")</f>
        <v>12.05</v>
      </c>
      <c r="C28" s="43">
        <f>IF(C$18&lt;=$B$14,IF($E$15&gt;2,GAGERR!D44,""),"")</f>
        <v>12.05</v>
      </c>
      <c r="D28" s="43">
        <f>IF(D$18&lt;=$B$14,IF($E$15&gt;2,GAGERR!E44,""),"")</f>
        <v>12.05</v>
      </c>
      <c r="E28" s="43">
        <f>IF(E$18&lt;=$B$14,IF($E$15&gt;2,GAGERR!F44,""),"")</f>
        <v>12.05</v>
      </c>
      <c r="F28" s="43">
        <f>IF(F$18&lt;=$B$14,IF($E$15&gt;2,GAGERR!G44,""),"")</f>
        <v>12</v>
      </c>
      <c r="G28" s="43">
        <f>IF(G$18&lt;=$B$14,IF($E$15&gt;2,GAGERR!H44,""),"")</f>
        <v>12</v>
      </c>
      <c r="H28" s="43">
        <f>IF(H$18&lt;=$B$14,IF($E$15&gt;2,GAGERR!I44,""),"")</f>
        <v>12.05</v>
      </c>
      <c r="I28" s="43">
        <f>IF(I$18&lt;=$B$14,IF($E$15&gt;2,GAGERR!J44,""),"")</f>
        <v>12.05</v>
      </c>
      <c r="J28" s="44">
        <f>IF(J$18&lt;=$B$14,IF($E$15&gt;2,GAGERR!K44,""),"")</f>
        <v>12.05</v>
      </c>
      <c r="K28" s="45">
        <f>IF(K$18&lt;=$B$14,IF($E$15&gt;2,GAGERR!L44,""),"")</f>
        <v>12.05</v>
      </c>
      <c r="L28" s="15"/>
      <c r="M28" s="36">
        <f>SUM(B28:K28)/$B$14</f>
        <v>12.04</v>
      </c>
    </row>
    <row r="29" spans="1:14" ht="14" thickTop="1" x14ac:dyDescent="0.15">
      <c r="A29" s="24" t="s">
        <v>5</v>
      </c>
      <c r="B29" s="62">
        <f>IF($B$14&gt;=B$18,IF($E$14&gt;1,AVERAGE(B26:B28),0),0)</f>
        <v>12.116666666666665</v>
      </c>
      <c r="C29" s="62">
        <f t="shared" ref="C29:K29" si="2">IF($B$14&gt;=C$18,IF($E$14&gt;1,AVERAGE(C26:C28),0),0)</f>
        <v>12.116666666666665</v>
      </c>
      <c r="D29" s="62">
        <f t="shared" si="2"/>
        <v>12.116666666666665</v>
      </c>
      <c r="E29" s="62">
        <f t="shared" si="2"/>
        <v>12.083333333333334</v>
      </c>
      <c r="F29" s="62">
        <f t="shared" si="2"/>
        <v>12.1</v>
      </c>
      <c r="G29" s="62">
        <f t="shared" si="2"/>
        <v>12.066666666666668</v>
      </c>
      <c r="H29" s="62">
        <f t="shared" si="2"/>
        <v>12.116666666666665</v>
      </c>
      <c r="I29" s="62">
        <f t="shared" si="2"/>
        <v>12.050000000000002</v>
      </c>
      <c r="J29" s="62">
        <f t="shared" si="2"/>
        <v>12.116666666666665</v>
      </c>
      <c r="K29" s="62">
        <f t="shared" si="2"/>
        <v>12.016666666666666</v>
      </c>
      <c r="L29" s="31" t="s">
        <v>22</v>
      </c>
      <c r="M29" s="36">
        <f>SUM(M26:M28)/E$15</f>
        <v>12.089999999999998</v>
      </c>
    </row>
    <row r="30" spans="1:14" ht="14" thickBot="1" x14ac:dyDescent="0.2">
      <c r="A30" s="25" t="s">
        <v>6</v>
      </c>
      <c r="B30" s="54">
        <f>IF($B$14&gt;=B$18,MAX(B26:B28)-MIN(B26:B28),0)</f>
        <v>0.14999999999999858</v>
      </c>
      <c r="C30" s="55">
        <f>IF($B$14&gt;=C$18,MAX(C26:C28)-MIN(C26:C28),0)</f>
        <v>0.14999999999999858</v>
      </c>
      <c r="D30" s="55">
        <f t="shared" ref="D30:J30" si="3">IF($B$14&gt;=D$18,MAX(D26:D28)-MIN(D26:D28),0)</f>
        <v>0.14999999999999858</v>
      </c>
      <c r="E30" s="55">
        <f t="shared" si="3"/>
        <v>0.19999999999999929</v>
      </c>
      <c r="F30" s="55">
        <f t="shared" si="3"/>
        <v>0.19999999999999929</v>
      </c>
      <c r="G30" s="55">
        <f t="shared" si="3"/>
        <v>0.19999999999999929</v>
      </c>
      <c r="H30" s="55">
        <f t="shared" si="3"/>
        <v>0.14999999999999858</v>
      </c>
      <c r="I30" s="55">
        <f t="shared" si="3"/>
        <v>9.9999999999999645E-2</v>
      </c>
      <c r="J30" s="55">
        <f t="shared" si="3"/>
        <v>0.14999999999999858</v>
      </c>
      <c r="K30" s="38">
        <f>IF($B$14&gt;=K$18,MAX(K26:K28)-MIN(K26:K28),0)</f>
        <v>5.0000000000000711E-2</v>
      </c>
      <c r="L30" s="32" t="s">
        <v>23</v>
      </c>
      <c r="M30" s="37">
        <f>SUM(B30:K30)/B14</f>
        <v>0.14999999999999911</v>
      </c>
    </row>
    <row r="31" spans="1:14" ht="14" thickTop="1" x14ac:dyDescent="0.15">
      <c r="A31" s="27" t="s">
        <v>36</v>
      </c>
      <c r="B31" s="28"/>
      <c r="C31" s="29"/>
      <c r="D31" s="29"/>
      <c r="E31" s="29"/>
      <c r="F31" s="29"/>
      <c r="G31" s="29"/>
      <c r="H31" s="29"/>
      <c r="I31" s="29"/>
      <c r="J31" s="29"/>
      <c r="K31" s="30"/>
      <c r="L31" s="50"/>
      <c r="M31" s="21"/>
    </row>
    <row r="32" spans="1:14" x14ac:dyDescent="0.15">
      <c r="A32" s="24">
        <v>1</v>
      </c>
      <c r="B32" s="46">
        <f>IF($E$14&gt;2,IF(B$18&lt;=$B$14,GAGERR!C48,""),"")</f>
        <v>12.1</v>
      </c>
      <c r="C32" s="40">
        <f>IF($E$14&gt;2,IF(C$18&lt;=$B$14,GAGERR!D48,""),"")</f>
        <v>12.1</v>
      </c>
      <c r="D32" s="40">
        <f>IF($E$14&gt;2,IF(D$18&lt;=$B$14,GAGERR!E48,""),"")</f>
        <v>12.1</v>
      </c>
      <c r="E32" s="40">
        <f>IF($E$14&gt;2,IF(E$18&lt;=$B$14,GAGERR!F48,""),"")</f>
        <v>12</v>
      </c>
      <c r="F32" s="40">
        <f>IF($E$14&gt;2,IF(F$18&lt;=$B$14,GAGERR!G48,""),"")</f>
        <v>12.1</v>
      </c>
      <c r="G32" s="40">
        <f>IF($E$14&gt;2,IF(G$18&lt;=$B$14,GAGERR!H48,""),"")</f>
        <v>12</v>
      </c>
      <c r="H32" s="40">
        <f>IF($E$14&gt;2,IF(H$18&lt;=$B$14,GAGERR!I48,""),"")</f>
        <v>12.1</v>
      </c>
      <c r="I32" s="40">
        <f>IF($E$14&gt;2,IF(I$18&lt;=$B$14,GAGERR!J48,""),"")</f>
        <v>12.1</v>
      </c>
      <c r="J32" s="40">
        <f>IF($E$14&gt;2,IF(J$18&lt;=$B$14,GAGERR!K48,""),"")</f>
        <v>12.1</v>
      </c>
      <c r="K32" s="41">
        <f>IF($E$14&gt;2,IF(K$18&lt;=$B$14,GAGERR!L48,""),"")</f>
        <v>12</v>
      </c>
      <c r="L32" s="7"/>
      <c r="M32" s="36">
        <f>SUM(B32:K32)/$B$14</f>
        <v>12.069999999999999</v>
      </c>
    </row>
    <row r="33" spans="1:13" x14ac:dyDescent="0.15">
      <c r="A33" s="22">
        <v>2</v>
      </c>
      <c r="B33" s="47">
        <f>IF($E$14&gt;2,IF(B$18&lt;=$B$14,GAGERR!C49,""),"")</f>
        <v>12.05</v>
      </c>
      <c r="C33" s="43">
        <f>IF($E$14&gt;2,IF(C$18&lt;=$B$14,GAGERR!D49,""),"")</f>
        <v>12.2</v>
      </c>
      <c r="D33" s="43">
        <f>IF($E$14&gt;2,IF(D$18&lt;=$B$14,GAGERR!E49,""),"")</f>
        <v>12.2</v>
      </c>
      <c r="E33" s="43">
        <f>IF($E$14&gt;2,IF(E$18&lt;=$B$14,GAGERR!F49,""),"")</f>
        <v>12</v>
      </c>
      <c r="F33" s="43">
        <f>IF($E$14&gt;2,IF(F$18&lt;=$B$14,GAGERR!G49,""),"")</f>
        <v>12.2</v>
      </c>
      <c r="G33" s="43">
        <f>IF($E$14&gt;2,IF(G$18&lt;=$B$14,GAGERR!H49,""),"")</f>
        <v>12.2</v>
      </c>
      <c r="H33" s="43">
        <f>IF($E$14&gt;2,IF(H$18&lt;=$B$14,GAGERR!I49,""),"")</f>
        <v>12.2</v>
      </c>
      <c r="I33" s="43">
        <f>IF($E$14&gt;2,IF(I$18&lt;=$B$14,GAGERR!J49,""),"")</f>
        <v>12</v>
      </c>
      <c r="J33" s="43">
        <f>IF($E$14&gt;2,IF(J$18&lt;=$B$14,GAGERR!K49,""),"")</f>
        <v>12.2</v>
      </c>
      <c r="K33" s="45">
        <f>IF($E$14&gt;2,IF(K$18&lt;=$B$14,GAGERR!L49,""),"")</f>
        <v>12</v>
      </c>
      <c r="L33" s="7"/>
      <c r="M33" s="36">
        <f>SUM(B33:K33)/$B$14</f>
        <v>12.125000000000002</v>
      </c>
    </row>
    <row r="34" spans="1:13" ht="14" thickBot="1" x14ac:dyDescent="0.2">
      <c r="A34" s="23">
        <v>3</v>
      </c>
      <c r="B34" s="42">
        <f>IF($E$14&gt;2,IF(B$18&lt;=$B$14,IF($E$15&gt;2,GAGERR!C50,""),""),"")</f>
        <v>12.05</v>
      </c>
      <c r="C34" s="43">
        <f>IF($E$14&gt;2,IF(C$18&lt;=$B$14,IF($E$15&gt;2,GAGERR!D50,""),""),"")</f>
        <v>12.05</v>
      </c>
      <c r="D34" s="43">
        <f>IF($E$14&gt;2,IF(D$18&lt;=$B$14,IF($E$15&gt;2,GAGERR!E50,""),""),"")</f>
        <v>12.05</v>
      </c>
      <c r="E34" s="43">
        <f>IF($E$14&gt;2,IF(E$18&lt;=$B$14,IF($E$15&gt;2,GAGERR!F50,""),""),"")</f>
        <v>12.05</v>
      </c>
      <c r="F34" s="43">
        <f>IF($E$14&gt;2,IF(F$18&lt;=$B$14,IF($E$15&gt;2,GAGERR!G50,""),""),"")</f>
        <v>12</v>
      </c>
      <c r="G34" s="43">
        <f>IF($E$14&gt;2,IF(G$18&lt;=$B$14,IF($E$15&gt;2,GAGERR!H50,""),""),"")</f>
        <v>12</v>
      </c>
      <c r="H34" s="43">
        <f>IF($E$14&gt;2,IF(H$18&lt;=$B$14,IF($E$15&gt;2,GAGERR!I50,""),""),"")</f>
        <v>12.05</v>
      </c>
      <c r="I34" s="43">
        <f>IF($E$14&gt;2,IF(I$18&lt;=$B$14,IF($E$15&gt;2,GAGERR!J50,""),""),"")</f>
        <v>12.05</v>
      </c>
      <c r="J34" s="44">
        <f>IF($E$14&gt;2,IF(J$18&lt;=$B$14,IF($E$15&gt;2,GAGERR!K50,""),""),"")</f>
        <v>12.05</v>
      </c>
      <c r="K34" s="45">
        <f>IF($E$14&gt;2,IF(K$18&lt;=$B$14,IF($E$15&gt;2,GAGERR!L50,""),""),"")</f>
        <v>12.05</v>
      </c>
      <c r="L34" s="15"/>
      <c r="M34" s="36">
        <f>SUM(B34:K34)/$B$14</f>
        <v>12.04</v>
      </c>
    </row>
    <row r="35" spans="1:13" ht="14" thickTop="1" x14ac:dyDescent="0.15">
      <c r="A35" s="24" t="s">
        <v>5</v>
      </c>
      <c r="B35" s="62">
        <f>IF($B$14&gt;=B$18,IF($E$14&gt;2,AVERAGE(B32:B34),0),0)</f>
        <v>12.066666666666668</v>
      </c>
      <c r="C35" s="62">
        <f t="shared" ref="C35:K35" si="4">IF($B$14&gt;=C$18,IF($E$14&gt;2,AVERAGE(C32:C34),0),0)</f>
        <v>12.116666666666665</v>
      </c>
      <c r="D35" s="62">
        <f t="shared" si="4"/>
        <v>12.116666666666665</v>
      </c>
      <c r="E35" s="62">
        <f t="shared" si="4"/>
        <v>12.016666666666666</v>
      </c>
      <c r="F35" s="62">
        <f t="shared" si="4"/>
        <v>12.1</v>
      </c>
      <c r="G35" s="62">
        <f t="shared" si="4"/>
        <v>12.066666666666668</v>
      </c>
      <c r="H35" s="62">
        <f t="shared" si="4"/>
        <v>12.116666666666665</v>
      </c>
      <c r="I35" s="62">
        <f t="shared" si="4"/>
        <v>12.050000000000002</v>
      </c>
      <c r="J35" s="62">
        <f t="shared" si="4"/>
        <v>12.116666666666665</v>
      </c>
      <c r="K35" s="62">
        <f t="shared" si="4"/>
        <v>12.016666666666666</v>
      </c>
      <c r="L35" s="31" t="s">
        <v>43</v>
      </c>
      <c r="M35" s="36">
        <f>SUM(M32:M34)/E$15</f>
        <v>12.078333333333333</v>
      </c>
    </row>
    <row r="36" spans="1:13" ht="14" thickBot="1" x14ac:dyDescent="0.2">
      <c r="A36" s="25" t="s">
        <v>6</v>
      </c>
      <c r="B36" s="54">
        <f>IF($B$14&gt;=B$18,MAX(B32:B34)-MIN(B32:B34),0)</f>
        <v>4.9999999999998934E-2</v>
      </c>
      <c r="C36" s="55">
        <f t="shared" ref="C36:K36" si="5">IF($B$14&gt;=C$18,MAX(C32:C34)-MIN(C32:C34),0)</f>
        <v>0.14999999999999858</v>
      </c>
      <c r="D36" s="55">
        <f t="shared" si="5"/>
        <v>0.14999999999999858</v>
      </c>
      <c r="E36" s="55">
        <f t="shared" si="5"/>
        <v>5.0000000000000711E-2</v>
      </c>
      <c r="F36" s="55">
        <f t="shared" si="5"/>
        <v>0.19999999999999929</v>
      </c>
      <c r="G36" s="55">
        <f t="shared" si="5"/>
        <v>0.19999999999999929</v>
      </c>
      <c r="H36" s="55">
        <f t="shared" si="5"/>
        <v>0.14999999999999858</v>
      </c>
      <c r="I36" s="55">
        <f t="shared" si="5"/>
        <v>9.9999999999999645E-2</v>
      </c>
      <c r="J36" s="55">
        <f t="shared" si="5"/>
        <v>0.14999999999999858</v>
      </c>
      <c r="K36" s="38">
        <f t="shared" si="5"/>
        <v>5.0000000000000711E-2</v>
      </c>
      <c r="L36" s="32" t="s">
        <v>44</v>
      </c>
      <c r="M36" s="37">
        <f>SUM(B36:K36)/B14</f>
        <v>0.12499999999999929</v>
      </c>
    </row>
    <row r="37" spans="1:13" ht="14" thickTop="1" x14ac:dyDescent="0.15">
      <c r="A37" s="6" t="s">
        <v>8</v>
      </c>
      <c r="B37" s="28"/>
      <c r="C37" s="29"/>
      <c r="D37" s="29"/>
      <c r="E37" s="29"/>
      <c r="F37" s="29"/>
      <c r="G37" s="29"/>
      <c r="H37" s="29"/>
      <c r="I37" s="29"/>
      <c r="J37" s="29"/>
      <c r="K37" s="9"/>
      <c r="L37" s="34" t="s">
        <v>9</v>
      </c>
      <c r="M37" s="36"/>
    </row>
    <row r="38" spans="1:13" ht="14" thickBot="1" x14ac:dyDescent="0.2">
      <c r="A38" s="10" t="s">
        <v>10</v>
      </c>
      <c r="B38" s="51">
        <f>(B23+B29+B35)/3</f>
        <v>12.1</v>
      </c>
      <c r="C38" s="53">
        <f t="shared" ref="C38:K38" si="6">(C23+C29+C35)/3</f>
        <v>12.116666666666665</v>
      </c>
      <c r="D38" s="53">
        <f t="shared" si="6"/>
        <v>12.116666666666665</v>
      </c>
      <c r="E38" s="53">
        <f t="shared" si="6"/>
        <v>12.072222222222223</v>
      </c>
      <c r="F38" s="53">
        <f t="shared" si="6"/>
        <v>12.1</v>
      </c>
      <c r="G38" s="53">
        <f t="shared" si="6"/>
        <v>12.072222222222223</v>
      </c>
      <c r="H38" s="53">
        <f t="shared" si="6"/>
        <v>12.116666666666665</v>
      </c>
      <c r="I38" s="53">
        <f t="shared" si="6"/>
        <v>12.050000000000002</v>
      </c>
      <c r="J38" s="53">
        <f t="shared" si="6"/>
        <v>12.116666666666665</v>
      </c>
      <c r="K38" s="52">
        <f t="shared" si="6"/>
        <v>12.03888888888889</v>
      </c>
      <c r="L38" s="33" t="s">
        <v>24</v>
      </c>
      <c r="M38" s="49"/>
    </row>
    <row r="39" spans="1:13" ht="14" thickTop="1" x14ac:dyDescent="0.15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4:AS144"/>
  <sheetViews>
    <sheetView showGridLines="0" tabSelected="1" topLeftCell="H1" workbookViewId="0">
      <selection activeCell="AL18" sqref="AL18"/>
    </sheetView>
  </sheetViews>
  <sheetFormatPr baseColWidth="10" defaultColWidth="8.83203125" defaultRowHeight="11" x14ac:dyDescent="0.15"/>
  <cols>
    <col min="1" max="1" width="4.1640625" style="66" customWidth="1"/>
    <col min="2" max="2" width="17.5" style="66" customWidth="1"/>
    <col min="3" max="12" width="10.5" style="66" customWidth="1"/>
    <col min="13" max="13" width="4.5" style="66" customWidth="1"/>
    <col min="14" max="14" width="8" style="66" customWidth="1"/>
    <col min="15" max="15" width="4" style="66" customWidth="1"/>
    <col min="16" max="17" width="4.5" style="66" hidden="1" customWidth="1"/>
    <col min="18" max="23" width="0" style="66" hidden="1" customWidth="1"/>
    <col min="24" max="24" width="2.5" style="66" hidden="1" customWidth="1"/>
    <col min="25" max="29" width="0" style="66" hidden="1" customWidth="1"/>
    <col min="30" max="30" width="6" style="66" hidden="1" customWidth="1"/>
    <col min="31" max="31" width="14.1640625" style="66" hidden="1" customWidth="1"/>
    <col min="32" max="42" width="8.83203125" style="66"/>
    <col min="43" max="43" width="9.5" style="66" customWidth="1"/>
    <col min="44" max="44" width="10.5" style="66" customWidth="1"/>
    <col min="45" max="45" width="1.6640625" style="66" customWidth="1"/>
    <col min="46" max="16384" width="8.83203125" style="66"/>
  </cols>
  <sheetData>
    <row r="4" spans="2:42" ht="5.25" customHeight="1" x14ac:dyDescent="0.15"/>
    <row r="7" spans="2:42" ht="9.75" customHeight="1" x14ac:dyDescent="0.15"/>
    <row r="8" spans="2:42" ht="15" x14ac:dyDescent="0.3">
      <c r="AP8" s="188"/>
    </row>
    <row r="9" spans="2:42" ht="6" customHeight="1" x14ac:dyDescent="0.15"/>
    <row r="10" spans="2:42" ht="9.75" customHeight="1" x14ac:dyDescent="0.15"/>
    <row r="11" spans="2:42" ht="9.75" customHeight="1" x14ac:dyDescent="0.15">
      <c r="AK11"/>
    </row>
    <row r="13" spans="2:42" ht="12" customHeight="1" thickBot="1" x14ac:dyDescent="0.2"/>
    <row r="14" spans="2:42" x14ac:dyDescent="0.15"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1"/>
      <c r="AF14" s="66" t="s">
        <v>121</v>
      </c>
      <c r="AH14" s="262">
        <v>42537</v>
      </c>
    </row>
    <row r="15" spans="2:42" ht="16" x14ac:dyDescent="0.2">
      <c r="B15" s="202"/>
      <c r="C15" s="196"/>
      <c r="D15" s="196"/>
      <c r="E15" s="197" t="s">
        <v>126</v>
      </c>
      <c r="F15" s="198"/>
      <c r="G15" s="198"/>
      <c r="H15" s="198"/>
      <c r="I15" s="198"/>
      <c r="J15" s="196"/>
      <c r="K15" s="196"/>
      <c r="L15" s="196"/>
      <c r="M15" s="196"/>
      <c r="N15" s="203"/>
    </row>
    <row r="16" spans="2:42" ht="16" x14ac:dyDescent="0.2">
      <c r="B16" s="202"/>
      <c r="C16" s="196"/>
      <c r="D16" s="196"/>
      <c r="E16" s="197"/>
      <c r="F16" s="198"/>
      <c r="G16" s="198"/>
      <c r="H16" s="198"/>
      <c r="I16" s="198"/>
      <c r="J16" s="196"/>
      <c r="K16" s="196"/>
      <c r="L16" s="196"/>
      <c r="M16" s="196"/>
      <c r="N16" s="203"/>
    </row>
    <row r="17" spans="2:45" ht="10.5" customHeight="1" x14ac:dyDescent="0.15">
      <c r="B17" s="204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205"/>
      <c r="P17" s="70" t="s">
        <v>45</v>
      </c>
    </row>
    <row r="18" spans="2:45" ht="19.5" customHeight="1" thickBot="1" x14ac:dyDescent="0.2">
      <c r="B18" s="204"/>
      <c r="C18" s="68"/>
      <c r="D18" s="68"/>
      <c r="E18" s="184" t="s">
        <v>67</v>
      </c>
      <c r="F18" s="68"/>
      <c r="G18" s="68"/>
      <c r="H18" s="68"/>
      <c r="I18" s="68"/>
      <c r="J18" s="68"/>
      <c r="K18" s="71" t="s">
        <v>0</v>
      </c>
      <c r="L18" s="263">
        <v>41441</v>
      </c>
      <c r="M18" s="181"/>
      <c r="N18" s="205"/>
      <c r="P18" s="70" t="s">
        <v>46</v>
      </c>
      <c r="AO18" s="276" t="s">
        <v>85</v>
      </c>
      <c r="AP18" s="277"/>
      <c r="AQ18" s="277"/>
    </row>
    <row r="19" spans="2:45" ht="4.5" customHeight="1" x14ac:dyDescent="0.15">
      <c r="B19" s="204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205"/>
      <c r="P19" s="70" t="s">
        <v>47</v>
      </c>
    </row>
    <row r="20" spans="2:45" ht="15" customHeight="1" thickBot="1" x14ac:dyDescent="0.2">
      <c r="B20" s="206" t="s">
        <v>63</v>
      </c>
      <c r="C20" s="179" t="s">
        <v>93</v>
      </c>
      <c r="D20" s="180"/>
      <c r="E20" s="180"/>
      <c r="F20" s="39"/>
      <c r="G20" s="39"/>
      <c r="H20" s="185" t="s">
        <v>68</v>
      </c>
      <c r="I20" s="39"/>
      <c r="J20" s="179" t="s">
        <v>18</v>
      </c>
      <c r="K20" s="180"/>
      <c r="L20" s="181"/>
      <c r="M20" s="181"/>
      <c r="N20" s="205"/>
      <c r="P20" s="70" t="s">
        <v>48</v>
      </c>
    </row>
    <row r="21" spans="2:45" ht="14" thickBot="1" x14ac:dyDescent="0.2">
      <c r="B21" s="206"/>
      <c r="C21" s="39"/>
      <c r="D21" s="39"/>
      <c r="E21" s="39"/>
      <c r="F21" s="39"/>
      <c r="G21" s="39"/>
      <c r="H21" s="185"/>
      <c r="I21" s="39"/>
      <c r="J21" s="68"/>
      <c r="K21" s="68"/>
      <c r="L21" s="68"/>
      <c r="M21" s="68"/>
      <c r="N21" s="205"/>
      <c r="P21" s="70" t="s">
        <v>49</v>
      </c>
      <c r="AF21" s="189" t="s">
        <v>56</v>
      </c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246"/>
    </row>
    <row r="22" spans="2:45" ht="14" thickBot="1" x14ac:dyDescent="0.2">
      <c r="B22" s="206" t="s">
        <v>64</v>
      </c>
      <c r="C22" s="179" t="s">
        <v>100</v>
      </c>
      <c r="D22" s="180"/>
      <c r="E22" s="180"/>
      <c r="F22" s="68"/>
      <c r="G22" s="68"/>
      <c r="H22" s="185" t="s">
        <v>69</v>
      </c>
      <c r="I22" s="68"/>
      <c r="J22" s="179" t="s">
        <v>101</v>
      </c>
      <c r="K22" s="180"/>
      <c r="L22" s="181"/>
      <c r="M22" s="181"/>
      <c r="N22" s="205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9"/>
      <c r="AF22" s="191" t="s">
        <v>119</v>
      </c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235"/>
      <c r="AS22" s="247"/>
    </row>
    <row r="23" spans="2:45" ht="14" thickBot="1" x14ac:dyDescent="0.2">
      <c r="B23" s="206"/>
      <c r="C23" s="39"/>
      <c r="D23" s="39"/>
      <c r="E23" s="39"/>
      <c r="F23" s="39"/>
      <c r="G23" s="39"/>
      <c r="H23" s="185"/>
      <c r="I23" s="39"/>
      <c r="J23" s="68"/>
      <c r="K23" s="68"/>
      <c r="L23" s="68"/>
      <c r="M23" s="68"/>
      <c r="N23" s="205"/>
      <c r="Q23" s="68"/>
      <c r="R23" s="68"/>
      <c r="S23" s="68"/>
      <c r="T23" s="68"/>
      <c r="U23" s="68"/>
      <c r="V23" s="177"/>
      <c r="W23" s="177"/>
      <c r="X23" s="68"/>
      <c r="Y23" s="176"/>
      <c r="Z23" s="176"/>
      <c r="AA23" s="170"/>
      <c r="AF23" s="193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247"/>
    </row>
    <row r="24" spans="2:45" ht="14" thickBot="1" x14ac:dyDescent="0.2">
      <c r="B24" s="206" t="s">
        <v>65</v>
      </c>
      <c r="C24" s="253">
        <v>2884</v>
      </c>
      <c r="D24" s="180"/>
      <c r="E24" s="180"/>
      <c r="F24" s="68"/>
      <c r="G24" s="68"/>
      <c r="H24" s="185" t="s">
        <v>99</v>
      </c>
      <c r="I24" s="39"/>
      <c r="J24" s="253">
        <v>485</v>
      </c>
      <c r="K24" s="179" t="s">
        <v>18</v>
      </c>
      <c r="L24" s="39" t="s">
        <v>18</v>
      </c>
      <c r="M24" s="68"/>
      <c r="N24" s="205"/>
      <c r="P24" s="73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170"/>
      <c r="AF24" s="191" t="s">
        <v>120</v>
      </c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236"/>
      <c r="AS24" s="247"/>
    </row>
    <row r="25" spans="2:45" ht="13" x14ac:dyDescent="0.15">
      <c r="B25" s="207"/>
      <c r="C25" s="68"/>
      <c r="D25" s="68"/>
      <c r="E25" s="68"/>
      <c r="F25" s="68"/>
      <c r="G25" s="68"/>
      <c r="H25" s="186"/>
      <c r="I25" s="68"/>
      <c r="J25" s="68"/>
      <c r="K25" s="68"/>
      <c r="L25" s="68"/>
      <c r="M25" s="68"/>
      <c r="N25" s="205"/>
      <c r="Q25" s="68"/>
      <c r="R25" s="68"/>
      <c r="S25" s="68"/>
      <c r="T25" s="68"/>
      <c r="U25" s="68"/>
      <c r="V25" s="177"/>
      <c r="W25" s="177"/>
      <c r="X25" s="68"/>
      <c r="Y25" s="178"/>
      <c r="Z25" s="178"/>
      <c r="AA25" s="170"/>
      <c r="AF25" s="191" t="s">
        <v>58</v>
      </c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247"/>
    </row>
    <row r="26" spans="2:45" ht="14" thickBot="1" x14ac:dyDescent="0.2">
      <c r="B26" s="206" t="s">
        <v>74</v>
      </c>
      <c r="C26" s="182" t="s">
        <v>98</v>
      </c>
      <c r="D26" s="182"/>
      <c r="E26" s="181"/>
      <c r="F26" s="177"/>
      <c r="G26" s="68"/>
      <c r="H26" s="185" t="s">
        <v>72</v>
      </c>
      <c r="I26" s="68"/>
      <c r="J26" s="182" t="s">
        <v>97</v>
      </c>
      <c r="K26" s="181"/>
      <c r="L26" s="181"/>
      <c r="M26" s="68"/>
      <c r="N26" s="205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170"/>
      <c r="AF26" s="191" t="s">
        <v>59</v>
      </c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247"/>
    </row>
    <row r="27" spans="2:45" ht="14" thickBot="1" x14ac:dyDescent="0.2">
      <c r="B27" s="207"/>
      <c r="C27" s="68"/>
      <c r="D27" s="68"/>
      <c r="E27" s="68"/>
      <c r="F27" s="68"/>
      <c r="G27" s="68"/>
      <c r="H27" s="186"/>
      <c r="I27" s="68"/>
      <c r="J27" s="68"/>
      <c r="K27" s="68"/>
      <c r="L27" s="68"/>
      <c r="M27" s="68"/>
      <c r="N27" s="205"/>
      <c r="P27" s="73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170"/>
      <c r="AF27" s="191" t="s">
        <v>60</v>
      </c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237"/>
      <c r="AS27" s="247"/>
    </row>
    <row r="28" spans="2:45" ht="14" thickBot="1" x14ac:dyDescent="0.2">
      <c r="B28" s="206" t="s">
        <v>66</v>
      </c>
      <c r="C28" s="267">
        <v>10</v>
      </c>
      <c r="D28" s="185" t="s">
        <v>71</v>
      </c>
      <c r="E28" s="75"/>
      <c r="F28" s="267">
        <v>3</v>
      </c>
      <c r="G28" s="68"/>
      <c r="H28" s="185" t="s">
        <v>73</v>
      </c>
      <c r="I28" s="68"/>
      <c r="J28" s="182" t="s">
        <v>94</v>
      </c>
      <c r="K28" s="181"/>
      <c r="L28" s="181"/>
      <c r="M28" s="68"/>
      <c r="N28" s="205"/>
      <c r="Q28" s="68"/>
      <c r="R28" s="68"/>
      <c r="S28" s="68"/>
      <c r="T28" s="68"/>
      <c r="U28" s="68"/>
      <c r="V28" s="177"/>
      <c r="W28" s="177"/>
      <c r="X28" s="68"/>
      <c r="Y28" s="183"/>
      <c r="Z28" s="183"/>
      <c r="AA28" s="170"/>
      <c r="AF28" s="193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247"/>
    </row>
    <row r="29" spans="2:45" ht="13" x14ac:dyDescent="0.15">
      <c r="B29" s="208"/>
      <c r="C29" s="76"/>
      <c r="D29" s="185"/>
      <c r="E29" s="75"/>
      <c r="F29" s="76"/>
      <c r="G29" s="68"/>
      <c r="H29" s="73"/>
      <c r="I29" s="68"/>
      <c r="J29" s="76"/>
      <c r="K29" s="68"/>
      <c r="L29" s="68"/>
      <c r="M29" s="68"/>
      <c r="N29" s="205"/>
      <c r="P29" s="73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170"/>
      <c r="AF29" s="191" t="s">
        <v>61</v>
      </c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247"/>
    </row>
    <row r="30" spans="2:45" ht="14" thickBot="1" x14ac:dyDescent="0.2">
      <c r="B30" s="204"/>
      <c r="C30" s="68"/>
      <c r="D30" s="185" t="s">
        <v>95</v>
      </c>
      <c r="E30" s="75"/>
      <c r="F30" s="267">
        <v>3</v>
      </c>
      <c r="G30" s="68"/>
      <c r="H30" s="68"/>
      <c r="I30" s="68"/>
      <c r="J30" s="68"/>
      <c r="K30" s="68"/>
      <c r="L30" s="68"/>
      <c r="M30" s="68"/>
      <c r="N30" s="205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170"/>
      <c r="AF30" s="191" t="s">
        <v>62</v>
      </c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247"/>
    </row>
    <row r="31" spans="2:45" ht="12" thickBot="1" x14ac:dyDescent="0.2">
      <c r="B31" s="204"/>
      <c r="C31" s="68"/>
      <c r="D31" s="39"/>
      <c r="E31" s="68"/>
      <c r="F31" s="77"/>
      <c r="G31" s="68"/>
      <c r="H31" s="68"/>
      <c r="I31" s="68"/>
      <c r="J31" s="68"/>
      <c r="K31" s="68"/>
      <c r="L31" s="68"/>
      <c r="M31" s="68"/>
      <c r="N31" s="205"/>
      <c r="P31" s="73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170"/>
      <c r="AF31" s="194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248"/>
    </row>
    <row r="32" spans="2:45" ht="6" customHeight="1" thickTop="1" thickBot="1" x14ac:dyDescent="0.2">
      <c r="B32" s="209"/>
      <c r="C32" s="78"/>
      <c r="D32" s="79"/>
      <c r="E32" s="79"/>
      <c r="F32" s="68"/>
      <c r="G32" s="79"/>
      <c r="H32" s="79"/>
      <c r="I32" s="79"/>
      <c r="J32" s="79"/>
      <c r="K32" s="79"/>
      <c r="L32" s="80"/>
      <c r="M32" s="78"/>
      <c r="N32" s="210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2"/>
    </row>
    <row r="33" spans="2:19" x14ac:dyDescent="0.15">
      <c r="B33" s="211" t="s">
        <v>92</v>
      </c>
      <c r="C33" s="67"/>
      <c r="D33" s="68"/>
      <c r="E33" s="68"/>
      <c r="F33" s="68"/>
      <c r="G33" s="68"/>
      <c r="H33" s="68"/>
      <c r="I33" s="68"/>
      <c r="J33" s="68"/>
      <c r="K33" s="68"/>
      <c r="L33" s="81"/>
      <c r="M33" s="68"/>
      <c r="N33" s="205"/>
      <c r="P33" s="68"/>
      <c r="Q33" s="68"/>
      <c r="R33" s="68"/>
      <c r="S33" s="68"/>
    </row>
    <row r="34" spans="2:19" ht="13.5" customHeight="1" thickBot="1" x14ac:dyDescent="0.2">
      <c r="B34" s="212" t="s">
        <v>75</v>
      </c>
      <c r="C34" s="82">
        <f>IF($C28&gt;=UnderTheHood!B18,UnderTheHood!B18,"")</f>
        <v>1</v>
      </c>
      <c r="D34" s="83">
        <f>IF($C28&gt;=UnderTheHood!C18,UnderTheHood!C18,"")</f>
        <v>2</v>
      </c>
      <c r="E34" s="83">
        <f>IF($C28&gt;=UnderTheHood!D18,UnderTheHood!D18,"")</f>
        <v>3</v>
      </c>
      <c r="F34" s="83">
        <f>IF($C28&gt;=UnderTheHood!E18,UnderTheHood!E18,"")</f>
        <v>4</v>
      </c>
      <c r="G34" s="83">
        <f>IF($C28&gt;=UnderTheHood!F18,UnderTheHood!F18,"")</f>
        <v>5</v>
      </c>
      <c r="H34" s="83">
        <f>IF($C28&gt;=UnderTheHood!G18,UnderTheHood!G18,"")</f>
        <v>6</v>
      </c>
      <c r="I34" s="83">
        <f>IF($C28&gt;=UnderTheHood!H18,UnderTheHood!H18,"")</f>
        <v>7</v>
      </c>
      <c r="J34" s="83">
        <f>IF($C28&gt;=UnderTheHood!I18,UnderTheHood!I18,"")</f>
        <v>8</v>
      </c>
      <c r="K34" s="83">
        <f>IF($C28&gt;=UnderTheHood!J18,UnderTheHood!J18,"")</f>
        <v>9</v>
      </c>
      <c r="L34" s="84">
        <f>IF($C28&gt;=UnderTheHood!K18,UnderTheHood!K18,"")</f>
        <v>10</v>
      </c>
      <c r="M34" s="271" t="s">
        <v>84</v>
      </c>
      <c r="N34" s="272"/>
      <c r="P34" s="68"/>
      <c r="Q34" s="68"/>
      <c r="R34" s="68"/>
      <c r="S34" s="68"/>
    </row>
    <row r="35" spans="2:19" ht="12" thickTop="1" x14ac:dyDescent="0.15">
      <c r="B35" s="249" t="s">
        <v>4</v>
      </c>
      <c r="C35" s="86"/>
      <c r="D35" s="87"/>
      <c r="E35" s="87"/>
      <c r="F35" s="88"/>
      <c r="G35" s="87"/>
      <c r="H35" s="88"/>
      <c r="I35" s="87"/>
      <c r="J35" s="87"/>
      <c r="K35" s="87"/>
      <c r="L35" s="89"/>
      <c r="M35" s="75"/>
      <c r="N35" s="213"/>
      <c r="P35" s="68"/>
      <c r="Q35" s="68"/>
      <c r="R35" s="68"/>
      <c r="S35" s="68"/>
    </row>
    <row r="36" spans="2:19" x14ac:dyDescent="0.15">
      <c r="B36" s="211">
        <v>1</v>
      </c>
      <c r="C36" s="63">
        <v>12.1</v>
      </c>
      <c r="D36" s="63">
        <v>12.1</v>
      </c>
      <c r="E36" s="63">
        <v>12.1</v>
      </c>
      <c r="F36" s="63">
        <v>12.1</v>
      </c>
      <c r="G36" s="63">
        <v>12.1</v>
      </c>
      <c r="H36" s="63">
        <v>12</v>
      </c>
      <c r="I36" s="63">
        <v>12.1</v>
      </c>
      <c r="J36" s="63">
        <v>12.1</v>
      </c>
      <c r="K36" s="63">
        <v>12.1</v>
      </c>
      <c r="L36" s="63">
        <v>12</v>
      </c>
      <c r="M36" s="74"/>
      <c r="N36" s="214">
        <f>UnderTheHood!M20</f>
        <v>12.079999999999998</v>
      </c>
      <c r="P36" s="68"/>
      <c r="Q36" s="68"/>
      <c r="R36" s="68"/>
      <c r="S36" s="68"/>
    </row>
    <row r="37" spans="2:19" x14ac:dyDescent="0.15">
      <c r="B37" s="215">
        <v>2</v>
      </c>
      <c r="C37" s="64">
        <v>12.2</v>
      </c>
      <c r="D37" s="64">
        <v>12.2</v>
      </c>
      <c r="E37" s="64">
        <v>12.2</v>
      </c>
      <c r="F37" s="64">
        <v>12.2</v>
      </c>
      <c r="G37" s="64">
        <v>12.2</v>
      </c>
      <c r="H37" s="64">
        <v>12.2</v>
      </c>
      <c r="I37" s="64">
        <v>12.2</v>
      </c>
      <c r="J37" s="64">
        <v>12</v>
      </c>
      <c r="K37" s="64">
        <v>12.2</v>
      </c>
      <c r="L37" s="64">
        <v>12.2</v>
      </c>
      <c r="M37" s="74"/>
      <c r="N37" s="214">
        <f>UnderTheHood!M21</f>
        <v>12.180000000000001</v>
      </c>
    </row>
    <row r="38" spans="2:19" ht="12" thickBot="1" x14ac:dyDescent="0.2">
      <c r="B38" s="251">
        <f>IF($F$30&gt;2,3,"")</f>
        <v>3</v>
      </c>
      <c r="C38" s="65">
        <v>12.05</v>
      </c>
      <c r="D38" s="65">
        <v>12.05</v>
      </c>
      <c r="E38" s="65">
        <v>12.05</v>
      </c>
      <c r="F38" s="65">
        <v>12.05</v>
      </c>
      <c r="G38" s="65">
        <v>12</v>
      </c>
      <c r="H38" s="65">
        <v>12.05</v>
      </c>
      <c r="I38" s="65">
        <v>12.05</v>
      </c>
      <c r="J38" s="65">
        <v>12.05</v>
      </c>
      <c r="K38" s="65">
        <v>12.05</v>
      </c>
      <c r="L38" s="65">
        <v>12.05</v>
      </c>
      <c r="M38" s="85"/>
      <c r="N38" s="216">
        <f>IF($F$30&gt;2,UnderTheHood!M22,"")</f>
        <v>12.044999999999998</v>
      </c>
    </row>
    <row r="39" spans="2:19" ht="12" thickTop="1" x14ac:dyDescent="0.15">
      <c r="B39" s="217" t="s">
        <v>76</v>
      </c>
      <c r="C39" s="90">
        <f>IF($C$28&gt;=C$34,IF($F$28&gt;0,UnderTheHood!B23,""),"")</f>
        <v>12.116666666666665</v>
      </c>
      <c r="D39" s="91">
        <f>IF($C$28&gt;=D$34,IF($F$28&gt;0,UnderTheHood!C23,""),"")</f>
        <v>12.116666666666665</v>
      </c>
      <c r="E39" s="91">
        <f>IF($C$28&gt;=E$34,IF($F$28&gt;0,UnderTheHood!D23,""),"")</f>
        <v>12.116666666666665</v>
      </c>
      <c r="F39" s="91">
        <f>IF($C$28&gt;=F$34,IF($F$28&gt;0,UnderTheHood!E23,""),"")</f>
        <v>12.116666666666665</v>
      </c>
      <c r="G39" s="91">
        <f>IF($C$28&gt;=G$34,IF($F$28&gt;0,UnderTheHood!F23,""),"")</f>
        <v>12.1</v>
      </c>
      <c r="H39" s="91">
        <f>IF($C$28&gt;=H$34,IF($F$28&gt;0,UnderTheHood!G23,""),"")</f>
        <v>12.083333333333334</v>
      </c>
      <c r="I39" s="91">
        <f>IF($C$28&gt;=I$34,IF($F$28&gt;0,UnderTheHood!H23,""),"")</f>
        <v>12.116666666666665</v>
      </c>
      <c r="J39" s="91">
        <f>IF($C$28&gt;=J$34,IF($F$28&gt;0,UnderTheHood!I23,""),"")</f>
        <v>12.050000000000002</v>
      </c>
      <c r="K39" s="91">
        <f>IF($C$28&gt;=K$34,IF($F$28&gt;0,UnderTheHood!J23,""),"")</f>
        <v>12.116666666666665</v>
      </c>
      <c r="L39" s="92">
        <f>IF($C$28&gt;=L$34,IF($F$28&gt;0,UnderTheHood!K23,""),"")</f>
        <v>12.083333333333334</v>
      </c>
      <c r="M39" s="93" t="s">
        <v>20</v>
      </c>
      <c r="N39" s="214">
        <f>SUM(N36:N38)/F$30</f>
        <v>12.101666666666665</v>
      </c>
    </row>
    <row r="40" spans="2:19" ht="12" thickBot="1" x14ac:dyDescent="0.2">
      <c r="B40" s="218" t="s">
        <v>77</v>
      </c>
      <c r="C40" s="94">
        <f>IF($C$28&gt;=C$34,UnderTheHood!B24,"")</f>
        <v>0.14999999999999858</v>
      </c>
      <c r="D40" s="95">
        <f>IF($C$28&gt;=D$34,UnderTheHood!C24,"")</f>
        <v>0.14999999999999858</v>
      </c>
      <c r="E40" s="95">
        <f>IF($C$28&gt;=E$34,UnderTheHood!D24,"")</f>
        <v>0.14999999999999858</v>
      </c>
      <c r="F40" s="95">
        <f>IF($C$28&gt;=F$34,UnderTheHood!E24,"")</f>
        <v>0.14999999999999858</v>
      </c>
      <c r="G40" s="95">
        <f>IF($C$28&gt;=G$34,UnderTheHood!F24,"")</f>
        <v>0.19999999999999929</v>
      </c>
      <c r="H40" s="95">
        <f>IF($C$28&gt;=H$34,UnderTheHood!G24,"")</f>
        <v>0.19999999999999929</v>
      </c>
      <c r="I40" s="95">
        <f>IF($C$28&gt;=I$34,UnderTheHood!H24,"")</f>
        <v>0.14999999999999858</v>
      </c>
      <c r="J40" s="95">
        <f>IF($C$28&gt;=J$34,UnderTheHood!I24,"")</f>
        <v>9.9999999999999645E-2</v>
      </c>
      <c r="K40" s="95">
        <f>IF($C$28&gt;=K$34,UnderTheHood!J24,"")</f>
        <v>0.14999999999999858</v>
      </c>
      <c r="L40" s="96">
        <f>IF($C$28&gt;=L$34,UnderTheHood!K24,"")</f>
        <v>0.19999999999999929</v>
      </c>
      <c r="M40" s="97" t="s">
        <v>21</v>
      </c>
      <c r="N40" s="219">
        <f>SUM(C40:L40)/C$28</f>
        <v>0.15999999999999889</v>
      </c>
    </row>
    <row r="41" spans="2:19" ht="12" thickTop="1" x14ac:dyDescent="0.15">
      <c r="B41" s="250" t="s">
        <v>7</v>
      </c>
      <c r="C41" s="98"/>
      <c r="D41" s="99"/>
      <c r="E41" s="99"/>
      <c r="F41" s="99"/>
      <c r="G41" s="99"/>
      <c r="H41" s="99"/>
      <c r="I41" s="99"/>
      <c r="J41" s="99"/>
      <c r="K41" s="99"/>
      <c r="L41" s="100"/>
      <c r="M41" s="75"/>
      <c r="N41" s="220"/>
    </row>
    <row r="42" spans="2:19" x14ac:dyDescent="0.15">
      <c r="B42" s="217">
        <v>1</v>
      </c>
      <c r="C42" s="63">
        <v>12.1</v>
      </c>
      <c r="D42" s="63">
        <v>12.1</v>
      </c>
      <c r="E42" s="63">
        <v>12.1</v>
      </c>
      <c r="F42" s="63">
        <v>12</v>
      </c>
      <c r="G42" s="63">
        <v>12.1</v>
      </c>
      <c r="H42" s="63">
        <v>12</v>
      </c>
      <c r="I42" s="63">
        <v>12.1</v>
      </c>
      <c r="J42" s="63">
        <v>12.1</v>
      </c>
      <c r="K42" s="63">
        <v>12.1</v>
      </c>
      <c r="L42" s="63">
        <v>12</v>
      </c>
      <c r="M42" s="74"/>
      <c r="N42" s="214">
        <f>UnderTheHood!M26</f>
        <v>12.069999999999999</v>
      </c>
    </row>
    <row r="43" spans="2:19" x14ac:dyDescent="0.15">
      <c r="B43" s="215">
        <v>2</v>
      </c>
      <c r="C43" s="64">
        <v>12.2</v>
      </c>
      <c r="D43" s="64">
        <v>12.2</v>
      </c>
      <c r="E43" s="64">
        <v>12.2</v>
      </c>
      <c r="F43" s="64">
        <v>12.2</v>
      </c>
      <c r="G43" s="64">
        <v>12.2</v>
      </c>
      <c r="H43" s="64">
        <v>12.2</v>
      </c>
      <c r="I43" s="64">
        <v>12.2</v>
      </c>
      <c r="J43" s="64">
        <v>12</v>
      </c>
      <c r="K43" s="64">
        <v>12.2</v>
      </c>
      <c r="L43" s="64">
        <v>12</v>
      </c>
      <c r="M43" s="74"/>
      <c r="N43" s="214">
        <f>UnderTheHood!M27</f>
        <v>12.16</v>
      </c>
    </row>
    <row r="44" spans="2:19" ht="12" thickBot="1" x14ac:dyDescent="0.2">
      <c r="B44" s="251">
        <f>IF($F$30&gt;2,3,"")</f>
        <v>3</v>
      </c>
      <c r="C44" s="65">
        <v>12.05</v>
      </c>
      <c r="D44" s="65">
        <v>12.05</v>
      </c>
      <c r="E44" s="65">
        <v>12.05</v>
      </c>
      <c r="F44" s="65">
        <v>12.05</v>
      </c>
      <c r="G44" s="65">
        <v>12</v>
      </c>
      <c r="H44" s="65">
        <v>12</v>
      </c>
      <c r="I44" s="65">
        <v>12.05</v>
      </c>
      <c r="J44" s="65">
        <v>12.05</v>
      </c>
      <c r="K44" s="65">
        <v>12.05</v>
      </c>
      <c r="L44" s="65">
        <v>12.05</v>
      </c>
      <c r="M44" s="85"/>
      <c r="N44" s="216">
        <f>IF($F$30&gt;2,UnderTheHood!M28,"")</f>
        <v>12.04</v>
      </c>
    </row>
    <row r="45" spans="2:19" ht="12" thickTop="1" x14ac:dyDescent="0.15">
      <c r="B45" s="217" t="s">
        <v>76</v>
      </c>
      <c r="C45" s="90">
        <f>IF($C$28&gt;=C$34,IF($F$28&gt;1,UnderTheHood!B29,""),"")</f>
        <v>12.116666666666665</v>
      </c>
      <c r="D45" s="91">
        <f>IF($C$28&gt;=D$34,IF($F$28&gt;1,UnderTheHood!C29,""),"")</f>
        <v>12.116666666666665</v>
      </c>
      <c r="E45" s="91">
        <f>IF($C$28&gt;=E$34,IF($F$28&gt;1,UnderTheHood!D29,""),"")</f>
        <v>12.116666666666665</v>
      </c>
      <c r="F45" s="91">
        <f>IF($C$28&gt;=F$34,IF($F$28&gt;1,UnderTheHood!E29,""),"")</f>
        <v>12.083333333333334</v>
      </c>
      <c r="G45" s="91">
        <f>IF($C$28&gt;=G$34,IF($F$28&gt;1,UnderTheHood!F29,""),"")</f>
        <v>12.1</v>
      </c>
      <c r="H45" s="91">
        <f>IF($C$28&gt;=H$34,IF($F$28&gt;1,UnderTheHood!G29,""),"")</f>
        <v>12.066666666666668</v>
      </c>
      <c r="I45" s="91">
        <f>IF($C$28&gt;=I$34,IF($F$28&gt;1,UnderTheHood!H29,""),"")</f>
        <v>12.116666666666665</v>
      </c>
      <c r="J45" s="91">
        <f>IF($C$28&gt;=J$34,IF($F$28&gt;1,UnderTheHood!I29,""),"")</f>
        <v>12.050000000000002</v>
      </c>
      <c r="K45" s="91">
        <f>IF($C$28&gt;=K$34,IF($F$28&gt;1,UnderTheHood!J29,""),"")</f>
        <v>12.116666666666665</v>
      </c>
      <c r="L45" s="101">
        <f>IF($C$28&gt;=L$34,IF($F$28&gt;1,UnderTheHood!K29,""),"")</f>
        <v>12.016666666666666</v>
      </c>
      <c r="M45" s="102" t="s">
        <v>22</v>
      </c>
      <c r="N45" s="214">
        <f>SUM(N42:N44)/F$30</f>
        <v>12.089999999999998</v>
      </c>
    </row>
    <row r="46" spans="2:19" ht="12" thickBot="1" x14ac:dyDescent="0.2">
      <c r="B46" s="218" t="s">
        <v>77</v>
      </c>
      <c r="C46" s="94">
        <f>IF($C$28&gt;=C$34,UnderTheHood!B30,"")</f>
        <v>0.14999999999999858</v>
      </c>
      <c r="D46" s="95">
        <f>IF($C$28&gt;=D$34,UnderTheHood!C30,"")</f>
        <v>0.14999999999999858</v>
      </c>
      <c r="E46" s="95">
        <f>IF($C$28&gt;=E$34,UnderTheHood!D30,"")</f>
        <v>0.14999999999999858</v>
      </c>
      <c r="F46" s="95">
        <f>IF($C$28&gt;=F$34,UnderTheHood!E30,"")</f>
        <v>0.19999999999999929</v>
      </c>
      <c r="G46" s="95">
        <f>IF($C$28&gt;=G$34,UnderTheHood!F30,"")</f>
        <v>0.19999999999999929</v>
      </c>
      <c r="H46" s="95">
        <f>IF($C$28&gt;=H$34,UnderTheHood!G30,"")</f>
        <v>0.19999999999999929</v>
      </c>
      <c r="I46" s="95">
        <f>IF($C$28&gt;=I$34,UnderTheHood!H30,"")</f>
        <v>0.14999999999999858</v>
      </c>
      <c r="J46" s="95">
        <f>IF($C$28&gt;=J$34,UnderTheHood!I30,"")</f>
        <v>9.9999999999999645E-2</v>
      </c>
      <c r="K46" s="95">
        <f>IF($C$28&gt;=K$34,UnderTheHood!J30,"")</f>
        <v>0.14999999999999858</v>
      </c>
      <c r="L46" s="103">
        <f>IF($C$28&gt;=L$34,UnderTheHood!K30,"")</f>
        <v>5.0000000000000711E-2</v>
      </c>
      <c r="M46" s="97" t="s">
        <v>23</v>
      </c>
      <c r="N46" s="219">
        <f>SUM(C46:L46)/C$28</f>
        <v>0.14999999999999911</v>
      </c>
    </row>
    <row r="47" spans="2:19" ht="12" thickTop="1" x14ac:dyDescent="0.15">
      <c r="B47" s="250" t="s">
        <v>36</v>
      </c>
      <c r="C47" s="98"/>
      <c r="D47" s="99"/>
      <c r="E47" s="99"/>
      <c r="F47" s="99"/>
      <c r="G47" s="99"/>
      <c r="H47" s="99"/>
      <c r="I47" s="99"/>
      <c r="J47" s="99"/>
      <c r="K47" s="99"/>
      <c r="L47" s="100"/>
      <c r="M47" s="75"/>
      <c r="N47" s="220"/>
    </row>
    <row r="48" spans="2:19" x14ac:dyDescent="0.15">
      <c r="B48" s="217">
        <v>1</v>
      </c>
      <c r="C48" s="63">
        <v>12.1</v>
      </c>
      <c r="D48" s="63">
        <v>12.1</v>
      </c>
      <c r="E48" s="63">
        <v>12.1</v>
      </c>
      <c r="F48" s="63">
        <v>12</v>
      </c>
      <c r="G48" s="63">
        <v>12.1</v>
      </c>
      <c r="H48" s="63">
        <v>12</v>
      </c>
      <c r="I48" s="63">
        <v>12.1</v>
      </c>
      <c r="J48" s="63">
        <v>12.1</v>
      </c>
      <c r="K48" s="63">
        <v>12.1</v>
      </c>
      <c r="L48" s="63">
        <v>12</v>
      </c>
      <c r="M48" s="74"/>
      <c r="N48" s="214">
        <f>IF($F$28&gt;2,UnderTheHood!M32,"")</f>
        <v>12.069999999999999</v>
      </c>
    </row>
    <row r="49" spans="2:14" x14ac:dyDescent="0.15">
      <c r="B49" s="211">
        <v>2</v>
      </c>
      <c r="C49" s="64">
        <v>12.05</v>
      </c>
      <c r="D49" s="64">
        <v>12.2</v>
      </c>
      <c r="E49" s="64">
        <v>12.2</v>
      </c>
      <c r="F49" s="64">
        <v>12</v>
      </c>
      <c r="G49" s="64">
        <v>12.2</v>
      </c>
      <c r="H49" s="64">
        <v>12.2</v>
      </c>
      <c r="I49" s="64">
        <v>12.2</v>
      </c>
      <c r="J49" s="64">
        <v>12</v>
      </c>
      <c r="K49" s="64">
        <v>12.2</v>
      </c>
      <c r="L49" s="64">
        <v>12</v>
      </c>
      <c r="M49" s="74"/>
      <c r="N49" s="214">
        <f>IF($F$28&gt;2,UnderTheHood!M33,"")</f>
        <v>12.125000000000002</v>
      </c>
    </row>
    <row r="50" spans="2:14" ht="12" thickBot="1" x14ac:dyDescent="0.2">
      <c r="B50" s="251">
        <f>IF($F$30&gt;2,3,"")</f>
        <v>3</v>
      </c>
      <c r="C50" s="65">
        <v>12.05</v>
      </c>
      <c r="D50" s="65">
        <v>12.05</v>
      </c>
      <c r="E50" s="65">
        <v>12.05</v>
      </c>
      <c r="F50" s="65">
        <v>12.05</v>
      </c>
      <c r="G50" s="65">
        <v>12</v>
      </c>
      <c r="H50" s="65">
        <v>12</v>
      </c>
      <c r="I50" s="65">
        <v>12.05</v>
      </c>
      <c r="J50" s="65">
        <v>12.05</v>
      </c>
      <c r="K50" s="65">
        <v>12.05</v>
      </c>
      <c r="L50" s="65">
        <v>12.05</v>
      </c>
      <c r="M50" s="85"/>
      <c r="N50" s="216">
        <f>IF($F$28&gt;2,IF($F$30&gt;2,UnderTheHood!M34,""),"")</f>
        <v>12.04</v>
      </c>
    </row>
    <row r="51" spans="2:14" ht="12" thickTop="1" x14ac:dyDescent="0.15">
      <c r="B51" s="217" t="s">
        <v>76</v>
      </c>
      <c r="C51" s="90">
        <f>IF($C$28&gt;=C$34,IF($F$28&gt;2,UnderTheHood!B35,""),"")</f>
        <v>12.066666666666668</v>
      </c>
      <c r="D51" s="91">
        <f>IF($C$28&gt;=D$34,IF($F$28&gt;2,UnderTheHood!C35,""),"")</f>
        <v>12.116666666666665</v>
      </c>
      <c r="E51" s="91">
        <f>IF($C$28&gt;=E$34,IF($F$28&gt;2,UnderTheHood!D35,""),"")</f>
        <v>12.116666666666665</v>
      </c>
      <c r="F51" s="91">
        <f>IF($C$28&gt;=F$34,IF($F$28&gt;2,UnderTheHood!E35,""),"")</f>
        <v>12.016666666666666</v>
      </c>
      <c r="G51" s="91">
        <f>IF($C$28&gt;=G$34,IF($F$28&gt;2,UnderTheHood!F35,""),"")</f>
        <v>12.1</v>
      </c>
      <c r="H51" s="91">
        <f>IF($C$28&gt;=H$34,IF($F$28&gt;2,UnderTheHood!G35,""),"")</f>
        <v>12.066666666666668</v>
      </c>
      <c r="I51" s="91">
        <f>IF($C$28&gt;=I$34,IF($F$28&gt;2,UnderTheHood!H35,""),"")</f>
        <v>12.116666666666665</v>
      </c>
      <c r="J51" s="91">
        <f>IF($C$28&gt;=J$34,IF($F$28&gt;2,UnderTheHood!I35,""),"")</f>
        <v>12.050000000000002</v>
      </c>
      <c r="K51" s="91">
        <f>IF($C$28&gt;=K$34,IF($F$28&gt;2,UnderTheHood!J35,""),"")</f>
        <v>12.116666666666665</v>
      </c>
      <c r="L51" s="101">
        <f>IF($C$28&gt;=L$34,IF($F$28&gt;2,UnderTheHood!K35,""),"")</f>
        <v>12.016666666666666</v>
      </c>
      <c r="M51" s="102" t="s">
        <v>43</v>
      </c>
      <c r="N51" s="214">
        <f>SUM(N48:N50)/F$30</f>
        <v>12.078333333333333</v>
      </c>
    </row>
    <row r="52" spans="2:14" ht="12" thickBot="1" x14ac:dyDescent="0.2">
      <c r="B52" s="218" t="s">
        <v>77</v>
      </c>
      <c r="C52" s="94">
        <f>IF($F$28&gt;2,IF($C$28&gt;=C$34,UnderTheHood!B36,""),"")</f>
        <v>4.9999999999998934E-2</v>
      </c>
      <c r="D52" s="95">
        <f>IF($F$28&gt;2,IF($C$28&gt;=D$34,UnderTheHood!C36,""),"")</f>
        <v>0.14999999999999858</v>
      </c>
      <c r="E52" s="95">
        <f>IF($F$28&gt;2,IF($C$28&gt;=E$34,UnderTheHood!D36,""),"")</f>
        <v>0.14999999999999858</v>
      </c>
      <c r="F52" s="95">
        <f>IF($F$28&gt;2,IF($C$28&gt;=F$34,UnderTheHood!E36,""),"")</f>
        <v>5.0000000000000711E-2</v>
      </c>
      <c r="G52" s="95">
        <f>IF($F$28&gt;2,IF($C$28&gt;=G$34,UnderTheHood!F36,""),"")</f>
        <v>0.19999999999999929</v>
      </c>
      <c r="H52" s="95">
        <f>IF($F$28&gt;2,IF($C$28&gt;=H$34,UnderTheHood!G36,""),"")</f>
        <v>0.19999999999999929</v>
      </c>
      <c r="I52" s="95">
        <f>IF($F$28&gt;2,IF($C$28&gt;=I$34,UnderTheHood!H36,""),"")</f>
        <v>0.14999999999999858</v>
      </c>
      <c r="J52" s="95">
        <f>IF($F$28&gt;2,IF($C$28&gt;=J$34,UnderTheHood!I36,""),"")</f>
        <v>9.9999999999999645E-2</v>
      </c>
      <c r="K52" s="95">
        <f>IF($F$28&gt;2,IF($C$28&gt;=K$34,UnderTheHood!J36,""),"")</f>
        <v>0.14999999999999858</v>
      </c>
      <c r="L52" s="103">
        <f>IF($F$28&gt;2,IF($C$28&gt;=L$34,UnderTheHood!K36,""),"")</f>
        <v>5.0000000000000711E-2</v>
      </c>
      <c r="M52" s="97" t="s">
        <v>44</v>
      </c>
      <c r="N52" s="219">
        <f>SUM(C52:L52)/C$28</f>
        <v>0.12499999999999929</v>
      </c>
    </row>
    <row r="53" spans="2:14" ht="12" thickTop="1" x14ac:dyDescent="0.15">
      <c r="B53" s="211" t="s">
        <v>8</v>
      </c>
      <c r="C53" s="98"/>
      <c r="D53" s="99"/>
      <c r="E53" s="99"/>
      <c r="F53" s="99"/>
      <c r="G53" s="99"/>
      <c r="H53" s="99"/>
      <c r="I53" s="99"/>
      <c r="J53" s="99"/>
      <c r="K53" s="99"/>
      <c r="L53" s="69"/>
      <c r="M53" s="73" t="s">
        <v>9</v>
      </c>
      <c r="N53" s="214">
        <f>AVERAGE(C54:L54)</f>
        <v>12.09</v>
      </c>
    </row>
    <row r="54" spans="2:14" ht="12" thickBot="1" x14ac:dyDescent="0.2">
      <c r="B54" s="212" t="s">
        <v>76</v>
      </c>
      <c r="C54" s="104">
        <f t="shared" ref="C54:L54" si="0">IF($C$28&gt;=C34,SUM(C39,C45,C51)/$F28,"")</f>
        <v>12.1</v>
      </c>
      <c r="D54" s="105">
        <f t="shared" si="0"/>
        <v>12.116666666666665</v>
      </c>
      <c r="E54" s="105">
        <f t="shared" si="0"/>
        <v>12.116666666666665</v>
      </c>
      <c r="F54" s="105">
        <f t="shared" si="0"/>
        <v>12.072222222222223</v>
      </c>
      <c r="G54" s="105">
        <f t="shared" si="0"/>
        <v>12.1</v>
      </c>
      <c r="H54" s="105">
        <f t="shared" si="0"/>
        <v>12.072222222222223</v>
      </c>
      <c r="I54" s="105">
        <f t="shared" si="0"/>
        <v>12.116666666666665</v>
      </c>
      <c r="J54" s="105">
        <f t="shared" si="0"/>
        <v>12.050000000000002</v>
      </c>
      <c r="K54" s="105">
        <f t="shared" si="0"/>
        <v>12.116666666666665</v>
      </c>
      <c r="L54" s="106">
        <f t="shared" si="0"/>
        <v>12.03888888888889</v>
      </c>
      <c r="M54" s="107" t="s">
        <v>57</v>
      </c>
      <c r="N54" s="221">
        <f>MAX(C54:L54)-MIN(C54:L54)</f>
        <v>7.7777777777775725E-2</v>
      </c>
    </row>
    <row r="55" spans="2:14" ht="6" customHeight="1" thickTop="1" x14ac:dyDescent="0.15">
      <c r="B55" s="204"/>
      <c r="C55" s="68"/>
      <c r="D55" s="68"/>
      <c r="E55" s="68"/>
      <c r="F55" s="68"/>
      <c r="G55" s="68"/>
      <c r="H55" s="68"/>
      <c r="I55" s="68"/>
      <c r="J55" s="68"/>
      <c r="K55" s="68"/>
      <c r="L55" s="68" t="s">
        <v>18</v>
      </c>
      <c r="M55" s="68"/>
      <c r="N55" s="205" t="s">
        <v>18</v>
      </c>
    </row>
    <row r="56" spans="2:14" ht="12" thickBot="1" x14ac:dyDescent="0.2">
      <c r="B56" s="222" t="s">
        <v>78</v>
      </c>
      <c r="C56" s="68"/>
      <c r="D56" s="68"/>
      <c r="E56" s="68"/>
      <c r="F56" s="68"/>
      <c r="G56" s="68"/>
      <c r="H56" s="109" t="s">
        <v>18</v>
      </c>
      <c r="I56" s="110"/>
      <c r="J56" s="68"/>
      <c r="K56" s="68"/>
      <c r="L56" s="68"/>
      <c r="M56" s="68"/>
      <c r="N56" s="205"/>
    </row>
    <row r="57" spans="2:14" ht="13" thickTop="1" thickBot="1" x14ac:dyDescent="0.2">
      <c r="B57" s="209" t="s">
        <v>21</v>
      </c>
      <c r="C57" s="111">
        <f>N40</f>
        <v>0.15999999999999889</v>
      </c>
      <c r="D57" s="68"/>
      <c r="E57" s="112" t="s">
        <v>79</v>
      </c>
      <c r="F57" s="113" t="s">
        <v>11</v>
      </c>
      <c r="G57" s="68"/>
      <c r="H57" s="114" t="s">
        <v>115</v>
      </c>
      <c r="I57" s="115"/>
      <c r="J57" s="116" t="s">
        <v>12</v>
      </c>
      <c r="K57" s="116" t="s">
        <v>13</v>
      </c>
      <c r="L57" s="117" t="s">
        <v>102</v>
      </c>
      <c r="M57" s="68"/>
      <c r="N57" s="205"/>
    </row>
    <row r="58" spans="2:14" ht="12" thickTop="1" x14ac:dyDescent="0.15">
      <c r="B58" s="223" t="s">
        <v>23</v>
      </c>
      <c r="C58" s="118">
        <f>N46</f>
        <v>0.14999999999999911</v>
      </c>
      <c r="D58" s="68"/>
      <c r="E58" s="119">
        <v>2</v>
      </c>
      <c r="F58" s="120">
        <v>3.2669999999999999</v>
      </c>
      <c r="G58" s="68"/>
      <c r="H58" s="121">
        <f>C61</f>
        <v>0.1449999999999991</v>
      </c>
      <c r="I58" s="122"/>
      <c r="J58" s="123">
        <f>VLOOKUP(F30,E58:F59,2)</f>
        <v>2.5750000000000002</v>
      </c>
      <c r="K58" s="68" t="s">
        <v>13</v>
      </c>
      <c r="L58" s="238">
        <f>H58*J58</f>
        <v>0.37337499999999774</v>
      </c>
      <c r="M58" s="68"/>
      <c r="N58" s="205"/>
    </row>
    <row r="59" spans="2:14" ht="13.5" customHeight="1" thickBot="1" x14ac:dyDescent="0.2">
      <c r="B59" s="224" t="s">
        <v>44</v>
      </c>
      <c r="C59" s="124">
        <f>IF(F28&gt;2,N52,"")</f>
        <v>0.12499999999999929</v>
      </c>
      <c r="D59" s="68"/>
      <c r="E59" s="125">
        <v>3</v>
      </c>
      <c r="F59" s="126">
        <v>2.5750000000000002</v>
      </c>
      <c r="G59" s="68"/>
      <c r="H59" s="273" t="s">
        <v>96</v>
      </c>
      <c r="I59" s="274"/>
      <c r="J59" s="274"/>
      <c r="K59" s="274"/>
      <c r="L59" s="275"/>
      <c r="M59" s="68"/>
      <c r="N59" s="205"/>
    </row>
    <row r="60" spans="2:14" ht="13" thickTop="1" thickBot="1" x14ac:dyDescent="0.2">
      <c r="B60" s="225" t="s">
        <v>14</v>
      </c>
      <c r="C60" s="127">
        <f>SUM(C57:C59)</f>
        <v>0.43499999999999728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205"/>
    </row>
    <row r="61" spans="2:14" ht="17" thickTop="1" thickBot="1" x14ac:dyDescent="0.25">
      <c r="B61" s="241" t="s">
        <v>114</v>
      </c>
      <c r="C61" s="242">
        <f>C60/F28</f>
        <v>0.1449999999999991</v>
      </c>
      <c r="D61" s="68"/>
      <c r="E61" s="112" t="s">
        <v>79</v>
      </c>
      <c r="F61" s="113" t="s">
        <v>51</v>
      </c>
      <c r="G61" s="68"/>
      <c r="H61" s="128" t="s">
        <v>116</v>
      </c>
      <c r="I61" s="129" t="s">
        <v>118</v>
      </c>
      <c r="J61" s="129" t="s">
        <v>52</v>
      </c>
      <c r="K61" s="129" t="s">
        <v>13</v>
      </c>
      <c r="L61" s="130" t="s">
        <v>103</v>
      </c>
      <c r="M61" s="68"/>
      <c r="N61" s="205"/>
    </row>
    <row r="62" spans="2:14" ht="12" thickTop="1" x14ac:dyDescent="0.15">
      <c r="B62" s="222"/>
      <c r="C62" s="131"/>
      <c r="D62" s="68"/>
      <c r="E62" s="119">
        <v>2</v>
      </c>
      <c r="F62" s="132">
        <v>1.88</v>
      </c>
      <c r="G62" s="68"/>
      <c r="H62" s="121">
        <f>N53</f>
        <v>12.09</v>
      </c>
      <c r="I62" s="133">
        <f>C61</f>
        <v>0.1449999999999991</v>
      </c>
      <c r="J62" s="123">
        <f>VLOOKUP(F30,E62:F63,2)</f>
        <v>1.0229999999999999</v>
      </c>
      <c r="K62" s="68" t="s">
        <v>13</v>
      </c>
      <c r="L62" s="238">
        <f>H62+(I62*J62)</f>
        <v>12.238334999999999</v>
      </c>
      <c r="M62" s="68"/>
      <c r="N62" s="205"/>
    </row>
    <row r="63" spans="2:14" ht="12" thickBot="1" x14ac:dyDescent="0.2">
      <c r="B63" s="204"/>
      <c r="C63" s="68"/>
      <c r="D63" s="68"/>
      <c r="E63" s="125">
        <v>3</v>
      </c>
      <c r="F63" s="126">
        <v>1.0229999999999999</v>
      </c>
      <c r="G63" s="68"/>
      <c r="H63" s="108" t="s">
        <v>117</v>
      </c>
      <c r="I63" s="39" t="s">
        <v>118</v>
      </c>
      <c r="J63" s="39" t="s">
        <v>52</v>
      </c>
      <c r="K63" s="39" t="s">
        <v>13</v>
      </c>
      <c r="L63" s="134" t="s">
        <v>104</v>
      </c>
      <c r="M63" s="68"/>
      <c r="N63" s="205"/>
    </row>
    <row r="64" spans="2:14" ht="13" thickTop="1" thickBot="1" x14ac:dyDescent="0.2">
      <c r="B64" s="226" t="s">
        <v>18</v>
      </c>
      <c r="C64" s="68"/>
      <c r="D64" s="68"/>
      <c r="E64" s="68"/>
      <c r="F64" s="68"/>
      <c r="G64" s="68"/>
      <c r="H64" s="135">
        <f>N53</f>
        <v>12.09</v>
      </c>
      <c r="I64" s="136">
        <f>C61</f>
        <v>0.1449999999999991</v>
      </c>
      <c r="J64" s="137">
        <f>VLOOKUP(F30,E62:F63,2)</f>
        <v>1.0229999999999999</v>
      </c>
      <c r="K64" s="110" t="s">
        <v>13</v>
      </c>
      <c r="L64" s="239">
        <f>H64-(I64*J64)</f>
        <v>11.941665</v>
      </c>
      <c r="M64" s="68"/>
      <c r="N64" s="205"/>
    </row>
    <row r="65" spans="2:19" ht="7.5" customHeight="1" thickTop="1" thickBot="1" x14ac:dyDescent="0.2">
      <c r="B65" s="226"/>
      <c r="C65" s="68"/>
      <c r="D65" s="68"/>
      <c r="E65" s="68"/>
      <c r="F65" s="68"/>
      <c r="G65" s="68"/>
      <c r="H65" s="138"/>
      <c r="I65" s="133"/>
      <c r="J65" s="123"/>
      <c r="K65" s="68"/>
      <c r="L65" s="139"/>
      <c r="M65" s="68"/>
      <c r="N65" s="205"/>
    </row>
    <row r="66" spans="2:19" ht="13" thickTop="1" thickBot="1" x14ac:dyDescent="0.2">
      <c r="B66" s="227" t="s">
        <v>15</v>
      </c>
      <c r="C66" s="140">
        <f>IF(F28&gt;2,MAX(N39,N45,N51),MAX(N39,N45))</f>
        <v>12.101666666666665</v>
      </c>
      <c r="D66" s="68"/>
      <c r="E66" s="68"/>
      <c r="F66" s="68"/>
      <c r="G66" s="68"/>
      <c r="H66" s="39" t="s">
        <v>80</v>
      </c>
      <c r="I66" s="68"/>
      <c r="J66" s="254">
        <v>1</v>
      </c>
      <c r="K66" s="68"/>
      <c r="L66" s="39" t="s">
        <v>90</v>
      </c>
      <c r="M66" s="122" t="s">
        <v>13</v>
      </c>
      <c r="N66" s="245">
        <f>C28</f>
        <v>10</v>
      </c>
    </row>
    <row r="67" spans="2:19" ht="13" thickTop="1" thickBot="1" x14ac:dyDescent="0.2">
      <c r="B67" s="228" t="s">
        <v>16</v>
      </c>
      <c r="C67" s="140">
        <f>IF(F28&gt;2,MIN(N39,N45,N51),MIN(N39,N45))</f>
        <v>12.078333333333333</v>
      </c>
      <c r="D67" s="68"/>
      <c r="E67" s="68"/>
      <c r="F67" s="68"/>
      <c r="G67" s="68"/>
      <c r="H67" s="39"/>
      <c r="I67" s="122"/>
      <c r="J67" s="39"/>
      <c r="K67" s="68"/>
      <c r="L67" s="68"/>
      <c r="M67" s="68"/>
      <c r="N67" s="205"/>
    </row>
    <row r="68" spans="2:19" ht="13" thickTop="1" thickBot="1" x14ac:dyDescent="0.2">
      <c r="B68" s="243" t="s">
        <v>113</v>
      </c>
      <c r="C68" s="240">
        <f>C66-C67</f>
        <v>2.3333333333331652E-2</v>
      </c>
      <c r="D68" s="173"/>
      <c r="E68" s="173"/>
      <c r="F68" s="173"/>
      <c r="G68" s="173"/>
      <c r="H68" s="173"/>
      <c r="I68" s="173"/>
      <c r="J68" s="173"/>
      <c r="K68" s="173"/>
      <c r="L68" s="174" t="s">
        <v>91</v>
      </c>
      <c r="M68" s="175" t="s">
        <v>13</v>
      </c>
      <c r="N68" s="244">
        <f>F28</f>
        <v>3</v>
      </c>
    </row>
    <row r="69" spans="2:19" ht="12" thickTop="1" x14ac:dyDescent="0.15">
      <c r="B69" s="204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205"/>
    </row>
    <row r="70" spans="2:19" ht="12" thickBot="1" x14ac:dyDescent="0.2">
      <c r="B70" s="204" t="s">
        <v>63</v>
      </c>
      <c r="C70" s="72" t="str">
        <f>C20</f>
        <v>Micromètre</v>
      </c>
      <c r="D70" s="72"/>
      <c r="E70" s="68"/>
      <c r="F70" s="68"/>
      <c r="G70" s="68"/>
      <c r="H70" s="68"/>
      <c r="I70" s="73" t="s">
        <v>0</v>
      </c>
      <c r="J70" s="75"/>
      <c r="K70" s="258">
        <f>IF(L18&gt;0,L18,"")</f>
        <v>41441</v>
      </c>
      <c r="L70" s="72"/>
      <c r="M70" s="72"/>
      <c r="N70" s="205"/>
    </row>
    <row r="71" spans="2:19" ht="4.5" customHeight="1" x14ac:dyDescent="0.15">
      <c r="B71" s="204"/>
      <c r="C71" s="68"/>
      <c r="D71" s="68"/>
      <c r="E71" s="68"/>
      <c r="F71" s="68"/>
      <c r="G71" s="68"/>
      <c r="H71" s="68"/>
      <c r="I71" s="73"/>
      <c r="J71" s="75"/>
      <c r="K71" s="259"/>
      <c r="L71" s="68"/>
      <c r="M71" s="68"/>
      <c r="N71" s="205"/>
    </row>
    <row r="72" spans="2:19" ht="12" thickBot="1" x14ac:dyDescent="0.2">
      <c r="B72" s="204" t="s">
        <v>70</v>
      </c>
      <c r="C72" s="252">
        <f>J24</f>
        <v>485</v>
      </c>
      <c r="D72" s="72"/>
      <c r="E72" s="68"/>
      <c r="F72" s="68"/>
      <c r="G72" s="68"/>
      <c r="H72" s="68"/>
      <c r="I72" s="73" t="s">
        <v>74</v>
      </c>
      <c r="J72" s="75"/>
      <c r="K72" s="252" t="str">
        <f>C26</f>
        <v>Julien</v>
      </c>
      <c r="L72" s="72"/>
      <c r="M72" s="72"/>
      <c r="N72" s="205"/>
    </row>
    <row r="73" spans="2:19" ht="5.25" customHeight="1" x14ac:dyDescent="0.15">
      <c r="B73" s="204"/>
      <c r="C73" s="68"/>
      <c r="D73" s="68"/>
      <c r="E73" s="68"/>
      <c r="F73" s="68"/>
      <c r="G73" s="68"/>
      <c r="H73" s="68"/>
      <c r="I73" s="73"/>
      <c r="J73" s="75"/>
      <c r="K73" s="257"/>
      <c r="L73" s="68"/>
      <c r="M73" s="68"/>
      <c r="N73" s="205"/>
    </row>
    <row r="74" spans="2:19" ht="12" thickBot="1" x14ac:dyDescent="0.2">
      <c r="B74" s="204"/>
      <c r="C74" s="68"/>
      <c r="D74" s="68"/>
      <c r="E74" s="68"/>
      <c r="F74" s="68"/>
      <c r="G74" s="68"/>
      <c r="H74" s="68"/>
      <c r="I74" s="73" t="s">
        <v>72</v>
      </c>
      <c r="J74" s="75"/>
      <c r="K74" s="252" t="str">
        <f>J26</f>
        <v>Anthoine</v>
      </c>
      <c r="L74" s="72"/>
      <c r="M74" s="72"/>
      <c r="N74" s="205"/>
    </row>
    <row r="75" spans="2:19" s="68" customFormat="1" ht="5.25" customHeight="1" x14ac:dyDescent="0.15">
      <c r="B75" s="204"/>
      <c r="I75" s="73"/>
      <c r="J75" s="75"/>
      <c r="K75" s="257"/>
      <c r="N75" s="205"/>
    </row>
    <row r="76" spans="2:19" ht="12" thickBot="1" x14ac:dyDescent="0.2">
      <c r="B76" s="204"/>
      <c r="C76" s="68"/>
      <c r="D76" s="68"/>
      <c r="E76" s="68"/>
      <c r="F76" s="68"/>
      <c r="G76" s="68"/>
      <c r="H76" s="68"/>
      <c r="I76" s="73" t="s">
        <v>73</v>
      </c>
      <c r="J76" s="75"/>
      <c r="K76" s="252" t="str">
        <f>J28</f>
        <v>Loic</v>
      </c>
      <c r="L76" s="72"/>
      <c r="M76" s="72"/>
      <c r="N76" s="205"/>
    </row>
    <row r="77" spans="2:19" ht="6" customHeight="1" thickBot="1" x14ac:dyDescent="0.2">
      <c r="B77" s="204"/>
      <c r="C77" s="68"/>
      <c r="D77" s="68"/>
      <c r="E77" s="68"/>
      <c r="F77" s="68"/>
      <c r="G77" s="68"/>
      <c r="H77" s="68"/>
      <c r="I77" s="73"/>
      <c r="J77" s="75"/>
      <c r="K77" s="68"/>
      <c r="L77" s="68"/>
      <c r="M77" s="68"/>
      <c r="N77" s="205"/>
    </row>
    <row r="78" spans="2:19" ht="23.25" customHeight="1" thickTop="1" thickBot="1" x14ac:dyDescent="0.2">
      <c r="B78" s="229"/>
      <c r="C78" s="141" t="s">
        <v>25</v>
      </c>
      <c r="D78" s="142"/>
      <c r="E78" s="142"/>
      <c r="F78" s="142"/>
      <c r="G78" s="142"/>
      <c r="H78" s="142"/>
      <c r="I78" s="143"/>
      <c r="J78" s="141" t="s">
        <v>29</v>
      </c>
      <c r="K78" s="142"/>
      <c r="L78" s="142"/>
      <c r="M78" s="142"/>
      <c r="N78" s="230"/>
    </row>
    <row r="79" spans="2:19" ht="4.5" customHeight="1" x14ac:dyDescent="0.15">
      <c r="B79" s="204"/>
      <c r="C79" s="68"/>
      <c r="D79" s="68"/>
      <c r="E79" s="68"/>
      <c r="F79" s="68"/>
      <c r="G79" s="68"/>
      <c r="H79" s="68"/>
      <c r="I79" s="144"/>
      <c r="J79" s="68"/>
      <c r="K79" s="68"/>
      <c r="L79" s="68"/>
      <c r="M79" s="68"/>
      <c r="N79" s="205"/>
    </row>
    <row r="80" spans="2:19" ht="12" thickBot="1" x14ac:dyDescent="0.2">
      <c r="B80" s="208" t="s">
        <v>89</v>
      </c>
      <c r="C80" s="68"/>
      <c r="D80" s="68"/>
      <c r="E80" s="264" t="s">
        <v>112</v>
      </c>
      <c r="F80" s="68"/>
      <c r="G80" s="68"/>
      <c r="H80" s="68"/>
      <c r="I80" s="144"/>
      <c r="J80" s="145" t="s">
        <v>31</v>
      </c>
      <c r="K80" s="146" t="s">
        <v>13</v>
      </c>
      <c r="L80" s="68" t="s">
        <v>107</v>
      </c>
      <c r="M80" s="68"/>
      <c r="N80" s="205"/>
      <c r="R80" s="147" t="s">
        <v>41</v>
      </c>
      <c r="S80" s="147" t="s">
        <v>42</v>
      </c>
    </row>
    <row r="81" spans="2:19" ht="12" thickBot="1" x14ac:dyDescent="0.2">
      <c r="B81" s="204"/>
      <c r="C81" s="68"/>
      <c r="D81" s="68"/>
      <c r="E81" s="265"/>
      <c r="F81" s="265" t="s">
        <v>125</v>
      </c>
      <c r="G81" s="68"/>
      <c r="H81" s="68"/>
      <c r="I81" s="144"/>
      <c r="J81" s="145" t="s">
        <v>31</v>
      </c>
      <c r="K81" s="146" t="s">
        <v>13</v>
      </c>
      <c r="L81" s="256">
        <f>IF(C108&gt;0,(100*C83/C108),"")</f>
        <v>95.598091139840761</v>
      </c>
      <c r="M81" s="68" t="s">
        <v>108</v>
      </c>
      <c r="N81" s="205"/>
      <c r="R81" s="66">
        <v>2</v>
      </c>
      <c r="S81" s="66">
        <v>4.5599999999999996</v>
      </c>
    </row>
    <row r="82" spans="2:19" ht="12" thickBot="1" x14ac:dyDescent="0.2">
      <c r="B82" s="231" t="s">
        <v>109</v>
      </c>
      <c r="C82" s="68" t="s">
        <v>110</v>
      </c>
      <c r="D82" s="68"/>
      <c r="E82" s="68" t="str">
        <f>"K1 ("&amp;F30&amp;" essais)="</f>
        <v>K1 (3 essais)=</v>
      </c>
      <c r="F82" s="68"/>
      <c r="G82" s="257">
        <f>VLOOKUP(F30,R81:S82,2)</f>
        <v>3.05</v>
      </c>
      <c r="H82" s="68"/>
      <c r="I82" s="144"/>
      <c r="J82" s="68"/>
      <c r="K82" s="68"/>
      <c r="L82" s="68"/>
      <c r="M82" s="68"/>
      <c r="N82" s="205"/>
      <c r="R82" s="66">
        <v>3</v>
      </c>
      <c r="S82" s="66">
        <v>3.05</v>
      </c>
    </row>
    <row r="83" spans="2:19" ht="12" thickBot="1" x14ac:dyDescent="0.2">
      <c r="B83" s="231" t="s">
        <v>109</v>
      </c>
      <c r="C83" s="266">
        <f>C61*G82</f>
        <v>0.44224999999999726</v>
      </c>
      <c r="D83" s="145" t="s">
        <v>127</v>
      </c>
      <c r="E83" s="266">
        <f>C83/5.15</f>
        <v>8.5873786407766453E-2</v>
      </c>
      <c r="F83" s="68"/>
      <c r="G83" s="68"/>
      <c r="H83" s="68"/>
      <c r="I83" s="144"/>
      <c r="J83" s="73" t="s">
        <v>82</v>
      </c>
      <c r="K83" s="68"/>
      <c r="L83" s="68"/>
      <c r="M83" s="145" t="s">
        <v>108</v>
      </c>
      <c r="N83" s="268">
        <f>IF(J66&gt;0,C83/J$66,"")</f>
        <v>0.44224999999999726</v>
      </c>
    </row>
    <row r="84" spans="2:19" ht="4.5" customHeight="1" thickBot="1" x14ac:dyDescent="0.2">
      <c r="B84" s="232"/>
      <c r="C84" s="72"/>
      <c r="D84" s="72"/>
      <c r="E84" s="72"/>
      <c r="F84" s="72"/>
      <c r="G84" s="72"/>
      <c r="H84" s="72"/>
      <c r="I84" s="148"/>
      <c r="J84" s="72"/>
      <c r="K84" s="72"/>
      <c r="L84" s="72"/>
      <c r="M84" s="72"/>
      <c r="N84" s="233"/>
    </row>
    <row r="85" spans="2:19" x14ac:dyDescent="0.15">
      <c r="B85" s="204"/>
      <c r="C85" s="68"/>
      <c r="D85" s="68"/>
      <c r="E85" s="68"/>
      <c r="F85" s="68"/>
      <c r="G85" s="68"/>
      <c r="H85" s="68"/>
      <c r="I85" s="144"/>
      <c r="J85" s="68"/>
      <c r="K85" s="68"/>
      <c r="L85" s="68"/>
      <c r="M85" s="68"/>
      <c r="N85" s="205"/>
    </row>
    <row r="86" spans="2:19" x14ac:dyDescent="0.15">
      <c r="B86" s="208" t="s">
        <v>88</v>
      </c>
      <c r="C86" s="68"/>
      <c r="D86" s="68"/>
      <c r="E86" s="264" t="s">
        <v>112</v>
      </c>
      <c r="F86" s="68"/>
      <c r="G86" s="68"/>
      <c r="H86" s="68"/>
      <c r="I86" s="144"/>
      <c r="J86" s="68"/>
      <c r="K86" s="68"/>
      <c r="L86" s="68"/>
      <c r="M86" s="68"/>
      <c r="N86" s="205"/>
    </row>
    <row r="87" spans="2:19" ht="12" thickBot="1" x14ac:dyDescent="0.2">
      <c r="B87" s="261"/>
      <c r="C87" s="68"/>
      <c r="D87" s="68"/>
      <c r="E87" s="257"/>
      <c r="F87" s="265" t="s">
        <v>125</v>
      </c>
      <c r="G87" s="68"/>
      <c r="H87" s="68"/>
      <c r="I87" s="144"/>
      <c r="J87" s="145" t="s">
        <v>32</v>
      </c>
      <c r="K87" s="146" t="s">
        <v>13</v>
      </c>
      <c r="L87" s="68" t="s">
        <v>33</v>
      </c>
      <c r="M87" s="68"/>
      <c r="N87" s="205"/>
      <c r="R87" s="147" t="s">
        <v>37</v>
      </c>
      <c r="S87" s="147" t="s">
        <v>38</v>
      </c>
    </row>
    <row r="88" spans="2:19" ht="15" customHeight="1" thickBot="1" x14ac:dyDescent="0.2">
      <c r="B88" s="231" t="s">
        <v>111</v>
      </c>
      <c r="C88" s="68" t="s">
        <v>105</v>
      </c>
      <c r="D88" s="68"/>
      <c r="E88" s="68"/>
      <c r="F88" s="68"/>
      <c r="G88" s="68"/>
      <c r="H88" s="68"/>
      <c r="I88" s="144"/>
      <c r="J88" s="145" t="s">
        <v>32</v>
      </c>
      <c r="K88" s="146" t="s">
        <v>13</v>
      </c>
      <c r="L88" s="256">
        <f>IF(C108&gt;0,100*C89/C108,"")</f>
        <v>10.916771503703368</v>
      </c>
      <c r="M88" s="68" t="s">
        <v>108</v>
      </c>
      <c r="N88" s="205"/>
      <c r="R88" s="66">
        <v>2</v>
      </c>
      <c r="S88" s="66">
        <v>3.65</v>
      </c>
    </row>
    <row r="89" spans="2:19" ht="13.5" customHeight="1" thickBot="1" x14ac:dyDescent="0.2">
      <c r="B89" s="231" t="s">
        <v>111</v>
      </c>
      <c r="C89" s="266">
        <f>SQRT(ABS((C68*G89)^2-C83^2/(N68*N66)))</f>
        <v>5.0502495812918241E-2</v>
      </c>
      <c r="D89" s="68"/>
      <c r="E89" s="68" t="str">
        <f>"K2 ("&amp;F28&amp;" opérateurs)="</f>
        <v>K2 (3 opérateurs)=</v>
      </c>
      <c r="F89" s="68"/>
      <c r="G89" s="260">
        <f>VLOOKUP(F28,R88:S89,2)</f>
        <v>2.7</v>
      </c>
      <c r="H89" s="68"/>
      <c r="I89" s="144"/>
      <c r="J89" s="68"/>
      <c r="K89" s="68"/>
      <c r="L89" s="68"/>
      <c r="M89" s="68"/>
      <c r="N89" s="205"/>
      <c r="R89" s="66">
        <v>3</v>
      </c>
      <c r="S89" s="149">
        <v>2.7</v>
      </c>
    </row>
    <row r="90" spans="2:19" ht="12" thickBot="1" x14ac:dyDescent="0.2">
      <c r="B90" s="204"/>
      <c r="C90" s="68"/>
      <c r="D90" s="145" t="s">
        <v>128</v>
      </c>
      <c r="E90" s="266">
        <f>C89/5.15</f>
        <v>9.806309866586066E-3</v>
      </c>
      <c r="F90" s="68"/>
      <c r="G90" s="68"/>
      <c r="H90" s="68"/>
      <c r="I90" s="144"/>
      <c r="J90" s="73" t="s">
        <v>122</v>
      </c>
      <c r="K90" s="68"/>
      <c r="L90" s="68"/>
      <c r="M90" s="145" t="s">
        <v>108</v>
      </c>
      <c r="N90" s="269">
        <f>IF(J66&gt;0,100*C89/J$66,"")</f>
        <v>5.0502495812918244</v>
      </c>
    </row>
    <row r="91" spans="2:19" ht="4.5" customHeight="1" thickBot="1" x14ac:dyDescent="0.2">
      <c r="B91" s="23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234"/>
    </row>
    <row r="92" spans="2:19" x14ac:dyDescent="0.15">
      <c r="B92" s="204"/>
      <c r="C92" s="68"/>
      <c r="D92" s="68"/>
      <c r="E92" s="68"/>
      <c r="F92" s="68"/>
      <c r="G92" s="68"/>
      <c r="H92" s="68"/>
      <c r="I92" s="144"/>
      <c r="J92" s="68"/>
      <c r="K92" s="68"/>
      <c r="L92" s="68"/>
      <c r="M92" s="68"/>
      <c r="N92" s="205"/>
    </row>
    <row r="93" spans="2:19" ht="12" thickBot="1" x14ac:dyDescent="0.2">
      <c r="B93" s="208" t="s">
        <v>86</v>
      </c>
      <c r="C93" s="68"/>
      <c r="D93" s="68"/>
      <c r="E93" s="264" t="s">
        <v>112</v>
      </c>
      <c r="F93" s="68"/>
      <c r="G93" s="68"/>
      <c r="H93" s="68"/>
      <c r="I93" s="144"/>
      <c r="J93" s="145" t="s">
        <v>131</v>
      </c>
      <c r="K93" s="146" t="s">
        <v>13</v>
      </c>
      <c r="L93" s="68" t="s">
        <v>134</v>
      </c>
      <c r="M93" s="68"/>
      <c r="N93" s="205"/>
    </row>
    <row r="94" spans="2:19" ht="12" thickBot="1" x14ac:dyDescent="0.2">
      <c r="B94" s="204"/>
      <c r="C94" s="68"/>
      <c r="D94" s="68"/>
      <c r="E94" s="68"/>
      <c r="F94" s="265" t="s">
        <v>125</v>
      </c>
      <c r="G94" s="68"/>
      <c r="H94" s="68"/>
      <c r="I94" s="144"/>
      <c r="J94" s="145" t="s">
        <v>131</v>
      </c>
      <c r="K94" s="146" t="s">
        <v>13</v>
      </c>
      <c r="L94" s="255">
        <f>IF(C108&gt;0,100*C96/C108,"")</f>
        <v>96.219389572192625</v>
      </c>
      <c r="M94" s="68" t="s">
        <v>108</v>
      </c>
      <c r="N94" s="205"/>
    </row>
    <row r="95" spans="2:19" ht="15" customHeight="1" thickBot="1" x14ac:dyDescent="0.2">
      <c r="B95" s="231" t="s">
        <v>130</v>
      </c>
      <c r="C95" s="68" t="s">
        <v>106</v>
      </c>
      <c r="D95" s="68"/>
      <c r="E95" s="68"/>
      <c r="F95" s="68"/>
      <c r="G95" s="68"/>
      <c r="H95" s="68"/>
      <c r="I95" s="144"/>
      <c r="J95" s="68"/>
      <c r="K95" s="68"/>
      <c r="L95" s="68"/>
      <c r="M95" s="68"/>
      <c r="N95" s="205"/>
    </row>
    <row r="96" spans="2:19" ht="12" thickBot="1" x14ac:dyDescent="0.2">
      <c r="B96" s="231" t="s">
        <v>130</v>
      </c>
      <c r="C96" s="266">
        <f>SQRT(ABS(C83^2+C89^2))</f>
        <v>0.4451242125332337</v>
      </c>
      <c r="D96" s="145" t="s">
        <v>129</v>
      </c>
      <c r="E96" s="266">
        <f>C96/5.15</f>
        <v>8.6431885928783231E-2</v>
      </c>
      <c r="F96" s="68"/>
      <c r="G96" s="68"/>
      <c r="H96" s="68"/>
      <c r="I96" s="144"/>
      <c r="J96" s="73" t="s">
        <v>123</v>
      </c>
      <c r="K96" s="68"/>
      <c r="L96" s="68"/>
      <c r="M96" s="145" t="s">
        <v>108</v>
      </c>
      <c r="N96" s="269">
        <f>IF(J66&gt;0,100*C96/J$66,"")</f>
        <v>44.512421253323367</v>
      </c>
    </row>
    <row r="97" spans="2:17" ht="4.5" customHeight="1" thickBot="1" x14ac:dyDescent="0.2">
      <c r="B97" s="232"/>
      <c r="C97" s="72"/>
      <c r="D97" s="72"/>
      <c r="E97" s="72"/>
      <c r="F97" s="72"/>
      <c r="G97" s="72"/>
      <c r="H97" s="72"/>
      <c r="I97" s="148"/>
      <c r="J97" s="72"/>
      <c r="K97" s="72"/>
      <c r="L97" s="72"/>
      <c r="M97" s="72"/>
      <c r="N97" s="233"/>
    </row>
    <row r="98" spans="2:17" x14ac:dyDescent="0.15">
      <c r="B98" s="204"/>
      <c r="C98" s="68"/>
      <c r="D98" s="68"/>
      <c r="E98" s="68"/>
      <c r="F98" s="68"/>
      <c r="G98" s="68"/>
      <c r="H98" s="150"/>
      <c r="I98" s="144"/>
      <c r="J98" s="68"/>
      <c r="K98" s="68"/>
      <c r="L98" s="68"/>
      <c r="M98" s="68"/>
      <c r="N98" s="205"/>
      <c r="P98" s="66" t="s">
        <v>35</v>
      </c>
      <c r="Q98" s="66" t="s">
        <v>28</v>
      </c>
    </row>
    <row r="99" spans="2:17" ht="12" thickBot="1" x14ac:dyDescent="0.2">
      <c r="B99" s="208" t="s">
        <v>87</v>
      </c>
      <c r="C99" s="68"/>
      <c r="D99" s="68"/>
      <c r="E99" s="264" t="s">
        <v>112</v>
      </c>
      <c r="F99" s="68"/>
      <c r="G99" s="68"/>
      <c r="H99" s="150"/>
      <c r="I99" s="144"/>
      <c r="J99" s="145" t="s">
        <v>17</v>
      </c>
      <c r="K99" s="146" t="s">
        <v>13</v>
      </c>
      <c r="L99" s="68" t="s">
        <v>34</v>
      </c>
      <c r="M99" s="68"/>
      <c r="N99" s="205"/>
      <c r="P99" s="66">
        <v>2</v>
      </c>
      <c r="Q99" s="66">
        <v>3.65</v>
      </c>
    </row>
    <row r="100" spans="2:17" ht="12" thickBot="1" x14ac:dyDescent="0.2">
      <c r="B100" s="204"/>
      <c r="C100" s="68"/>
      <c r="D100" s="68"/>
      <c r="E100" s="68"/>
      <c r="F100" s="265" t="s">
        <v>125</v>
      </c>
      <c r="G100" s="68"/>
      <c r="H100" s="150"/>
      <c r="I100" s="144"/>
      <c r="J100" s="145" t="s">
        <v>17</v>
      </c>
      <c r="K100" s="146" t="s">
        <v>13</v>
      </c>
      <c r="L100" s="255">
        <f>IF(C108&gt;0,100*C102/C108,"")</f>
        <v>27.236539250694612</v>
      </c>
      <c r="M100" s="68" t="s">
        <v>108</v>
      </c>
      <c r="N100" s="205"/>
      <c r="P100" s="66">
        <v>3</v>
      </c>
      <c r="Q100" s="149">
        <v>2.7</v>
      </c>
    </row>
    <row r="101" spans="2:17" ht="12" thickBot="1" x14ac:dyDescent="0.2">
      <c r="B101" s="231" t="s">
        <v>26</v>
      </c>
      <c r="C101" s="68" t="s">
        <v>27</v>
      </c>
      <c r="D101" s="68"/>
      <c r="E101" s="151" t="s">
        <v>83</v>
      </c>
      <c r="F101" s="152" t="s">
        <v>28</v>
      </c>
      <c r="G101" s="68"/>
      <c r="H101" s="150"/>
      <c r="I101" s="144"/>
      <c r="J101" s="68"/>
      <c r="K101" s="68"/>
      <c r="L101" s="68"/>
      <c r="M101" s="68"/>
      <c r="N101" s="205"/>
      <c r="P101" s="66">
        <v>4</v>
      </c>
      <c r="Q101" s="149">
        <v>2.2999999999999998</v>
      </c>
    </row>
    <row r="102" spans="2:17" ht="12" thickBot="1" x14ac:dyDescent="0.2">
      <c r="B102" s="231" t="s">
        <v>26</v>
      </c>
      <c r="C102" s="257">
        <f>N54*F102</f>
        <v>0.12599999999999667</v>
      </c>
      <c r="D102" s="68"/>
      <c r="E102" s="152">
        <f>C28</f>
        <v>10</v>
      </c>
      <c r="F102" s="187">
        <f>VLOOKUP(E102,P99:Q107,2)</f>
        <v>1.62</v>
      </c>
      <c r="G102" s="68"/>
      <c r="H102" s="150"/>
      <c r="I102" s="144"/>
      <c r="J102" s="73" t="s">
        <v>124</v>
      </c>
      <c r="K102" s="68"/>
      <c r="L102" s="68"/>
      <c r="M102" s="145" t="s">
        <v>108</v>
      </c>
      <c r="N102" s="269">
        <f>IF(J66&gt;0,100*C102/J$66,"")</f>
        <v>12.599999999999667</v>
      </c>
      <c r="P102" s="66">
        <v>5</v>
      </c>
      <c r="Q102" s="66">
        <v>2.08</v>
      </c>
    </row>
    <row r="103" spans="2:17" ht="4.5" customHeight="1" thickBot="1" x14ac:dyDescent="0.2">
      <c r="B103" s="232"/>
      <c r="C103" s="72"/>
      <c r="D103" s="72"/>
      <c r="E103" s="72"/>
      <c r="F103" s="72"/>
      <c r="G103" s="72"/>
      <c r="H103" s="153"/>
      <c r="I103" s="148"/>
      <c r="J103" s="72"/>
      <c r="K103" s="72"/>
      <c r="L103" s="72"/>
      <c r="M103" s="72"/>
      <c r="N103" s="270"/>
      <c r="P103" s="66">
        <v>6</v>
      </c>
      <c r="Q103" s="66">
        <v>1.93</v>
      </c>
    </row>
    <row r="104" spans="2:17" ht="12" customHeight="1" x14ac:dyDescent="0.15">
      <c r="B104" s="204"/>
      <c r="C104" s="68"/>
      <c r="D104" s="68"/>
      <c r="E104" s="68"/>
      <c r="F104" s="68"/>
      <c r="G104" s="68"/>
      <c r="H104" s="68"/>
      <c r="I104" s="144"/>
      <c r="J104" s="68"/>
      <c r="K104" s="68"/>
      <c r="L104" s="68"/>
      <c r="M104" s="68"/>
      <c r="N104" s="205"/>
      <c r="P104" s="66">
        <v>7</v>
      </c>
      <c r="Q104" s="66">
        <v>1.82</v>
      </c>
    </row>
    <row r="105" spans="2:17" ht="12" customHeight="1" x14ac:dyDescent="0.15">
      <c r="B105" s="208" t="s">
        <v>81</v>
      </c>
      <c r="C105" s="68"/>
      <c r="D105" s="68"/>
      <c r="E105" s="264" t="s">
        <v>112</v>
      </c>
      <c r="F105" s="68"/>
      <c r="G105" s="68"/>
      <c r="H105" s="68"/>
      <c r="I105" s="144"/>
      <c r="J105" s="68"/>
      <c r="K105" s="68"/>
      <c r="L105" s="68"/>
      <c r="M105" s="68"/>
      <c r="N105" s="205"/>
      <c r="P105" s="66">
        <v>8</v>
      </c>
      <c r="Q105" s="66">
        <v>1.74</v>
      </c>
    </row>
    <row r="106" spans="2:17" x14ac:dyDescent="0.15">
      <c r="B106" s="204"/>
      <c r="C106" s="68"/>
      <c r="D106" s="68"/>
      <c r="E106" s="68"/>
      <c r="F106" s="265" t="s">
        <v>125</v>
      </c>
      <c r="G106" s="68"/>
      <c r="H106" s="68"/>
      <c r="I106" s="144"/>
      <c r="J106" s="68"/>
      <c r="K106" s="68"/>
      <c r="L106" s="68"/>
      <c r="M106" s="68"/>
      <c r="N106" s="205"/>
      <c r="P106" s="66">
        <v>9</v>
      </c>
      <c r="Q106" s="66">
        <v>1.67</v>
      </c>
    </row>
    <row r="107" spans="2:17" ht="15" customHeight="1" x14ac:dyDescent="0.15">
      <c r="B107" s="231" t="s">
        <v>30</v>
      </c>
      <c r="C107" s="68" t="s">
        <v>133</v>
      </c>
      <c r="D107" s="68"/>
      <c r="E107" s="68"/>
      <c r="F107" s="68"/>
      <c r="G107" s="68"/>
      <c r="H107" s="68"/>
      <c r="I107" s="144"/>
      <c r="J107" s="68"/>
      <c r="K107" s="68"/>
      <c r="L107" s="68"/>
      <c r="M107" s="68"/>
      <c r="N107" s="205"/>
      <c r="P107" s="66">
        <v>10</v>
      </c>
      <c r="Q107" s="66">
        <v>1.62</v>
      </c>
    </row>
    <row r="108" spans="2:17" x14ac:dyDescent="0.15">
      <c r="B108" s="231" t="s">
        <v>30</v>
      </c>
      <c r="C108" s="266">
        <f>SQRT(ABS(C96^2+C102^2))</f>
        <v>0.46261383959338115</v>
      </c>
      <c r="D108" s="145" t="s">
        <v>132</v>
      </c>
      <c r="E108" s="266">
        <f>C108/5.15</f>
        <v>8.982793001813226E-2</v>
      </c>
      <c r="F108" s="68"/>
      <c r="G108" s="68"/>
      <c r="H108" s="68"/>
      <c r="I108" s="144"/>
      <c r="J108" s="68"/>
      <c r="K108" s="68"/>
      <c r="L108" s="68"/>
      <c r="M108" s="68"/>
      <c r="N108" s="205"/>
    </row>
    <row r="109" spans="2:17" ht="12" thickBot="1" x14ac:dyDescent="0.2">
      <c r="B109" s="232"/>
      <c r="C109" s="72"/>
      <c r="D109" s="72"/>
      <c r="E109" s="72"/>
      <c r="F109" s="72"/>
      <c r="G109" s="72"/>
      <c r="H109" s="72"/>
      <c r="I109" s="148"/>
      <c r="J109" s="72"/>
      <c r="K109" s="72"/>
      <c r="L109" s="72"/>
      <c r="M109" s="72"/>
      <c r="N109" s="233"/>
    </row>
    <row r="110" spans="2:17" ht="6.75" customHeight="1" x14ac:dyDescent="0.15"/>
    <row r="111" spans="2:17" ht="3" customHeight="1" x14ac:dyDescent="0.15">
      <c r="B111" s="66" t="s">
        <v>18</v>
      </c>
      <c r="C111" s="66" t="s">
        <v>18</v>
      </c>
    </row>
    <row r="113" spans="2:30" x14ac:dyDescent="0.15">
      <c r="B113" s="154" t="s">
        <v>18</v>
      </c>
    </row>
    <row r="114" spans="2:30" x14ac:dyDescent="0.15">
      <c r="V114" s="66" t="s">
        <v>55</v>
      </c>
      <c r="W114" s="66" t="s">
        <v>53</v>
      </c>
      <c r="AB114" s="66" t="s">
        <v>50</v>
      </c>
      <c r="AC114" s="66" t="s">
        <v>53</v>
      </c>
      <c r="AD114" s="66" t="s">
        <v>54</v>
      </c>
    </row>
    <row r="115" spans="2:30" x14ac:dyDescent="0.15">
      <c r="R115" s="66">
        <v>1</v>
      </c>
      <c r="S115" s="155">
        <f>C40</f>
        <v>0.14999999999999858</v>
      </c>
      <c r="T115" s="156"/>
      <c r="U115" s="156"/>
      <c r="V115" s="157">
        <f>C$61</f>
        <v>0.1449999999999991</v>
      </c>
      <c r="W115" s="158">
        <f>L$58</f>
        <v>0.37337499999999774</v>
      </c>
      <c r="Y115" s="155">
        <f>C39</f>
        <v>12.116666666666665</v>
      </c>
      <c r="Z115" s="156"/>
      <c r="AA115" s="156"/>
      <c r="AB115" s="159">
        <f>N$53</f>
        <v>12.09</v>
      </c>
      <c r="AC115" s="159">
        <f>L$62</f>
        <v>12.238334999999999</v>
      </c>
      <c r="AD115" s="160">
        <f>L$64</f>
        <v>11.941665</v>
      </c>
    </row>
    <row r="116" spans="2:30" x14ac:dyDescent="0.15">
      <c r="R116" s="66">
        <v>2</v>
      </c>
      <c r="S116" s="161">
        <f>D40</f>
        <v>0.14999999999999858</v>
      </c>
      <c r="T116" s="68"/>
      <c r="U116" s="68"/>
      <c r="V116" s="138">
        <f t="shared" ref="V116:V144" si="1">C$61</f>
        <v>0.1449999999999991</v>
      </c>
      <c r="W116" s="150">
        <f t="shared" ref="W116:W144" si="2">L$58</f>
        <v>0.37337499999999774</v>
      </c>
      <c r="Y116" s="161">
        <f>D39</f>
        <v>12.116666666666665</v>
      </c>
      <c r="Z116" s="68"/>
      <c r="AA116" s="68"/>
      <c r="AB116" s="139">
        <f t="shared" ref="AB116:AB144" si="3">N$53</f>
        <v>12.09</v>
      </c>
      <c r="AC116" s="139">
        <f t="shared" ref="AC116:AC144" si="4">L$62</f>
        <v>12.238334999999999</v>
      </c>
      <c r="AD116" s="162">
        <f t="shared" ref="AD116:AD144" si="5">L$64</f>
        <v>11.941665</v>
      </c>
    </row>
    <row r="117" spans="2:30" x14ac:dyDescent="0.15">
      <c r="R117" s="66">
        <v>3</v>
      </c>
      <c r="S117" s="161">
        <f>E40</f>
        <v>0.14999999999999858</v>
      </c>
      <c r="T117" s="68"/>
      <c r="U117" s="68"/>
      <c r="V117" s="138">
        <f t="shared" si="1"/>
        <v>0.1449999999999991</v>
      </c>
      <c r="W117" s="150">
        <f t="shared" si="2"/>
        <v>0.37337499999999774</v>
      </c>
      <c r="Y117" s="161">
        <f>E39</f>
        <v>12.116666666666665</v>
      </c>
      <c r="Z117" s="68"/>
      <c r="AA117" s="68"/>
      <c r="AB117" s="139">
        <f t="shared" si="3"/>
        <v>12.09</v>
      </c>
      <c r="AC117" s="139">
        <f t="shared" si="4"/>
        <v>12.238334999999999</v>
      </c>
      <c r="AD117" s="162">
        <f t="shared" si="5"/>
        <v>11.941665</v>
      </c>
    </row>
    <row r="118" spans="2:30" x14ac:dyDescent="0.15">
      <c r="R118" s="66">
        <v>4</v>
      </c>
      <c r="S118" s="161">
        <f>F40</f>
        <v>0.14999999999999858</v>
      </c>
      <c r="T118" s="68"/>
      <c r="U118" s="68"/>
      <c r="V118" s="138">
        <f t="shared" si="1"/>
        <v>0.1449999999999991</v>
      </c>
      <c r="W118" s="150">
        <f t="shared" si="2"/>
        <v>0.37337499999999774</v>
      </c>
      <c r="Y118" s="161">
        <f>F39</f>
        <v>12.116666666666665</v>
      </c>
      <c r="Z118" s="68"/>
      <c r="AA118" s="68"/>
      <c r="AB118" s="139">
        <f t="shared" si="3"/>
        <v>12.09</v>
      </c>
      <c r="AC118" s="139">
        <f t="shared" si="4"/>
        <v>12.238334999999999</v>
      </c>
      <c r="AD118" s="162">
        <f t="shared" si="5"/>
        <v>11.941665</v>
      </c>
    </row>
    <row r="119" spans="2:30" x14ac:dyDescent="0.15">
      <c r="R119" s="66">
        <v>5</v>
      </c>
      <c r="S119" s="161">
        <f>G40</f>
        <v>0.19999999999999929</v>
      </c>
      <c r="T119" s="68"/>
      <c r="U119" s="68"/>
      <c r="V119" s="138">
        <f t="shared" si="1"/>
        <v>0.1449999999999991</v>
      </c>
      <c r="W119" s="150">
        <f t="shared" si="2"/>
        <v>0.37337499999999774</v>
      </c>
      <c r="Y119" s="161">
        <f>G39</f>
        <v>12.1</v>
      </c>
      <c r="Z119" s="68"/>
      <c r="AA119" s="68"/>
      <c r="AB119" s="139">
        <f t="shared" si="3"/>
        <v>12.09</v>
      </c>
      <c r="AC119" s="139">
        <f t="shared" si="4"/>
        <v>12.238334999999999</v>
      </c>
      <c r="AD119" s="162">
        <f t="shared" si="5"/>
        <v>11.941665</v>
      </c>
    </row>
    <row r="120" spans="2:30" x14ac:dyDescent="0.15">
      <c r="R120" s="66">
        <v>6</v>
      </c>
      <c r="S120" s="161">
        <f>H40</f>
        <v>0.19999999999999929</v>
      </c>
      <c r="T120" s="68"/>
      <c r="U120" s="68"/>
      <c r="V120" s="138">
        <f t="shared" si="1"/>
        <v>0.1449999999999991</v>
      </c>
      <c r="W120" s="150">
        <f t="shared" si="2"/>
        <v>0.37337499999999774</v>
      </c>
      <c r="Y120" s="161">
        <f>H39</f>
        <v>12.083333333333334</v>
      </c>
      <c r="Z120" s="68"/>
      <c r="AA120" s="68"/>
      <c r="AB120" s="139">
        <f t="shared" si="3"/>
        <v>12.09</v>
      </c>
      <c r="AC120" s="139">
        <f t="shared" si="4"/>
        <v>12.238334999999999</v>
      </c>
      <c r="AD120" s="162">
        <f t="shared" si="5"/>
        <v>11.941665</v>
      </c>
    </row>
    <row r="121" spans="2:30" x14ac:dyDescent="0.15">
      <c r="R121" s="66">
        <v>7</v>
      </c>
      <c r="S121" s="161">
        <f>I40</f>
        <v>0.14999999999999858</v>
      </c>
      <c r="T121" s="68"/>
      <c r="U121" s="68"/>
      <c r="V121" s="138">
        <f t="shared" si="1"/>
        <v>0.1449999999999991</v>
      </c>
      <c r="W121" s="150">
        <f t="shared" si="2"/>
        <v>0.37337499999999774</v>
      </c>
      <c r="Y121" s="161">
        <f>I39</f>
        <v>12.116666666666665</v>
      </c>
      <c r="Z121" s="68"/>
      <c r="AA121" s="68"/>
      <c r="AB121" s="139">
        <f t="shared" si="3"/>
        <v>12.09</v>
      </c>
      <c r="AC121" s="139">
        <f t="shared" si="4"/>
        <v>12.238334999999999</v>
      </c>
      <c r="AD121" s="162">
        <f t="shared" si="5"/>
        <v>11.941665</v>
      </c>
    </row>
    <row r="122" spans="2:30" x14ac:dyDescent="0.15">
      <c r="R122" s="66">
        <v>8</v>
      </c>
      <c r="S122" s="161">
        <f>J40</f>
        <v>9.9999999999999645E-2</v>
      </c>
      <c r="T122" s="68"/>
      <c r="U122" s="68"/>
      <c r="V122" s="138">
        <f t="shared" si="1"/>
        <v>0.1449999999999991</v>
      </c>
      <c r="W122" s="150">
        <f t="shared" si="2"/>
        <v>0.37337499999999774</v>
      </c>
      <c r="Y122" s="161">
        <f>J39</f>
        <v>12.050000000000002</v>
      </c>
      <c r="Z122" s="68"/>
      <c r="AA122" s="68"/>
      <c r="AB122" s="139">
        <f t="shared" si="3"/>
        <v>12.09</v>
      </c>
      <c r="AC122" s="139">
        <f t="shared" si="4"/>
        <v>12.238334999999999</v>
      </c>
      <c r="AD122" s="162">
        <f t="shared" si="5"/>
        <v>11.941665</v>
      </c>
    </row>
    <row r="123" spans="2:30" x14ac:dyDescent="0.15">
      <c r="R123" s="66">
        <v>9</v>
      </c>
      <c r="S123" s="161">
        <f>K40</f>
        <v>0.14999999999999858</v>
      </c>
      <c r="T123" s="68"/>
      <c r="U123" s="68"/>
      <c r="V123" s="138">
        <f t="shared" si="1"/>
        <v>0.1449999999999991</v>
      </c>
      <c r="W123" s="150">
        <f t="shared" si="2"/>
        <v>0.37337499999999774</v>
      </c>
      <c r="Y123" s="161">
        <f>K39</f>
        <v>12.116666666666665</v>
      </c>
      <c r="Z123" s="68"/>
      <c r="AA123" s="68"/>
      <c r="AB123" s="139">
        <f t="shared" si="3"/>
        <v>12.09</v>
      </c>
      <c r="AC123" s="139">
        <f t="shared" si="4"/>
        <v>12.238334999999999</v>
      </c>
      <c r="AD123" s="162">
        <f t="shared" si="5"/>
        <v>11.941665</v>
      </c>
    </row>
    <row r="124" spans="2:30" x14ac:dyDescent="0.15">
      <c r="R124" s="66">
        <v>10</v>
      </c>
      <c r="S124" s="161">
        <f>L40</f>
        <v>0.19999999999999929</v>
      </c>
      <c r="T124" s="68"/>
      <c r="U124" s="68"/>
      <c r="V124" s="138">
        <f t="shared" si="1"/>
        <v>0.1449999999999991</v>
      </c>
      <c r="W124" s="150">
        <f t="shared" si="2"/>
        <v>0.37337499999999774</v>
      </c>
      <c r="Y124" s="161">
        <f>L39</f>
        <v>12.083333333333334</v>
      </c>
      <c r="Z124" s="68"/>
      <c r="AA124" s="68"/>
      <c r="AB124" s="139">
        <f t="shared" si="3"/>
        <v>12.09</v>
      </c>
      <c r="AC124" s="139">
        <f t="shared" si="4"/>
        <v>12.238334999999999</v>
      </c>
      <c r="AD124" s="162">
        <f t="shared" si="5"/>
        <v>11.941665</v>
      </c>
    </row>
    <row r="125" spans="2:30" x14ac:dyDescent="0.15">
      <c r="R125" s="66">
        <v>1</v>
      </c>
      <c r="S125" s="144"/>
      <c r="T125" s="139">
        <f>C46</f>
        <v>0.14999999999999858</v>
      </c>
      <c r="U125" s="68"/>
      <c r="V125" s="138">
        <f t="shared" si="1"/>
        <v>0.1449999999999991</v>
      </c>
      <c r="W125" s="150">
        <f t="shared" si="2"/>
        <v>0.37337499999999774</v>
      </c>
      <c r="Y125" s="144"/>
      <c r="Z125" s="139">
        <f>C$45</f>
        <v>12.116666666666665</v>
      </c>
      <c r="AA125" s="68"/>
      <c r="AB125" s="139">
        <f t="shared" si="3"/>
        <v>12.09</v>
      </c>
      <c r="AC125" s="139">
        <f t="shared" si="4"/>
        <v>12.238334999999999</v>
      </c>
      <c r="AD125" s="162">
        <f t="shared" si="5"/>
        <v>11.941665</v>
      </c>
    </row>
    <row r="126" spans="2:30" x14ac:dyDescent="0.15">
      <c r="R126" s="66">
        <v>2</v>
      </c>
      <c r="S126" s="144"/>
      <c r="T126" s="139">
        <f>D46</f>
        <v>0.14999999999999858</v>
      </c>
      <c r="U126" s="68"/>
      <c r="V126" s="138">
        <f t="shared" si="1"/>
        <v>0.1449999999999991</v>
      </c>
      <c r="W126" s="150">
        <f t="shared" si="2"/>
        <v>0.37337499999999774</v>
      </c>
      <c r="Y126" s="144"/>
      <c r="Z126" s="139">
        <f>D45</f>
        <v>12.116666666666665</v>
      </c>
      <c r="AA126" s="68"/>
      <c r="AB126" s="139">
        <f t="shared" si="3"/>
        <v>12.09</v>
      </c>
      <c r="AC126" s="139">
        <f t="shared" si="4"/>
        <v>12.238334999999999</v>
      </c>
      <c r="AD126" s="162">
        <f t="shared" si="5"/>
        <v>11.941665</v>
      </c>
    </row>
    <row r="127" spans="2:30" x14ac:dyDescent="0.15">
      <c r="R127" s="66">
        <v>3</v>
      </c>
      <c r="S127" s="144"/>
      <c r="T127" s="139">
        <f>E46</f>
        <v>0.14999999999999858</v>
      </c>
      <c r="U127" s="68"/>
      <c r="V127" s="138">
        <f t="shared" si="1"/>
        <v>0.1449999999999991</v>
      </c>
      <c r="W127" s="150">
        <f t="shared" si="2"/>
        <v>0.37337499999999774</v>
      </c>
      <c r="Y127" s="144"/>
      <c r="Z127" s="139">
        <f>E45</f>
        <v>12.116666666666665</v>
      </c>
      <c r="AA127" s="68"/>
      <c r="AB127" s="139">
        <f t="shared" si="3"/>
        <v>12.09</v>
      </c>
      <c r="AC127" s="139">
        <f t="shared" si="4"/>
        <v>12.238334999999999</v>
      </c>
      <c r="AD127" s="162">
        <f t="shared" si="5"/>
        <v>11.941665</v>
      </c>
    </row>
    <row r="128" spans="2:30" x14ac:dyDescent="0.15">
      <c r="R128" s="66">
        <v>4</v>
      </c>
      <c r="S128" s="144"/>
      <c r="T128" s="139">
        <f>F46</f>
        <v>0.19999999999999929</v>
      </c>
      <c r="U128" s="68"/>
      <c r="V128" s="138">
        <f t="shared" si="1"/>
        <v>0.1449999999999991</v>
      </c>
      <c r="W128" s="150">
        <f t="shared" si="2"/>
        <v>0.37337499999999774</v>
      </c>
      <c r="Y128" s="144"/>
      <c r="Z128" s="139">
        <f>F45</f>
        <v>12.083333333333334</v>
      </c>
      <c r="AA128" s="68"/>
      <c r="AB128" s="139">
        <f t="shared" si="3"/>
        <v>12.09</v>
      </c>
      <c r="AC128" s="139">
        <f t="shared" si="4"/>
        <v>12.238334999999999</v>
      </c>
      <c r="AD128" s="162">
        <f t="shared" si="5"/>
        <v>11.941665</v>
      </c>
    </row>
    <row r="129" spans="16:30" x14ac:dyDescent="0.15">
      <c r="R129" s="66">
        <v>5</v>
      </c>
      <c r="S129" s="144"/>
      <c r="T129" s="139">
        <f>G46</f>
        <v>0.19999999999999929</v>
      </c>
      <c r="U129" s="68"/>
      <c r="V129" s="138">
        <f t="shared" si="1"/>
        <v>0.1449999999999991</v>
      </c>
      <c r="W129" s="150">
        <f t="shared" si="2"/>
        <v>0.37337499999999774</v>
      </c>
      <c r="Y129" s="144"/>
      <c r="Z129" s="139">
        <f>G45</f>
        <v>12.1</v>
      </c>
      <c r="AA129" s="68"/>
      <c r="AB129" s="139">
        <f t="shared" si="3"/>
        <v>12.09</v>
      </c>
      <c r="AC129" s="139">
        <f t="shared" si="4"/>
        <v>12.238334999999999</v>
      </c>
      <c r="AD129" s="162">
        <f t="shared" si="5"/>
        <v>11.941665</v>
      </c>
    </row>
    <row r="130" spans="16:30" x14ac:dyDescent="0.15">
      <c r="R130" s="66">
        <v>6</v>
      </c>
      <c r="S130" s="144"/>
      <c r="T130" s="139">
        <f>H46</f>
        <v>0.19999999999999929</v>
      </c>
      <c r="U130" s="68"/>
      <c r="V130" s="138">
        <f t="shared" si="1"/>
        <v>0.1449999999999991</v>
      </c>
      <c r="W130" s="150">
        <f t="shared" si="2"/>
        <v>0.37337499999999774</v>
      </c>
      <c r="Y130" s="144"/>
      <c r="Z130" s="139">
        <f>H45</f>
        <v>12.066666666666668</v>
      </c>
      <c r="AA130" s="68"/>
      <c r="AB130" s="139">
        <f t="shared" si="3"/>
        <v>12.09</v>
      </c>
      <c r="AC130" s="139">
        <f t="shared" si="4"/>
        <v>12.238334999999999</v>
      </c>
      <c r="AD130" s="162">
        <f t="shared" si="5"/>
        <v>11.941665</v>
      </c>
    </row>
    <row r="131" spans="16:30" x14ac:dyDescent="0.15">
      <c r="R131" s="66">
        <v>7</v>
      </c>
      <c r="S131" s="144"/>
      <c r="T131" s="139">
        <f>I46</f>
        <v>0.14999999999999858</v>
      </c>
      <c r="U131" s="68"/>
      <c r="V131" s="138">
        <f t="shared" si="1"/>
        <v>0.1449999999999991</v>
      </c>
      <c r="W131" s="150">
        <f t="shared" si="2"/>
        <v>0.37337499999999774</v>
      </c>
      <c r="Y131" s="144"/>
      <c r="Z131" s="139">
        <f>I45</f>
        <v>12.116666666666665</v>
      </c>
      <c r="AA131" s="68"/>
      <c r="AB131" s="139">
        <f t="shared" si="3"/>
        <v>12.09</v>
      </c>
      <c r="AC131" s="139">
        <f t="shared" si="4"/>
        <v>12.238334999999999</v>
      </c>
      <c r="AD131" s="162">
        <f t="shared" si="5"/>
        <v>11.941665</v>
      </c>
    </row>
    <row r="132" spans="16:30" x14ac:dyDescent="0.15">
      <c r="R132" s="66">
        <v>8</v>
      </c>
      <c r="S132" s="144"/>
      <c r="T132" s="139">
        <f>J46</f>
        <v>9.9999999999999645E-2</v>
      </c>
      <c r="U132" s="68"/>
      <c r="V132" s="138">
        <f t="shared" si="1"/>
        <v>0.1449999999999991</v>
      </c>
      <c r="W132" s="150">
        <f t="shared" si="2"/>
        <v>0.37337499999999774</v>
      </c>
      <c r="Y132" s="144"/>
      <c r="Z132" s="139">
        <f>J45</f>
        <v>12.050000000000002</v>
      </c>
      <c r="AA132" s="68"/>
      <c r="AB132" s="139">
        <f t="shared" si="3"/>
        <v>12.09</v>
      </c>
      <c r="AC132" s="139">
        <f t="shared" si="4"/>
        <v>12.238334999999999</v>
      </c>
      <c r="AD132" s="162">
        <f t="shared" si="5"/>
        <v>11.941665</v>
      </c>
    </row>
    <row r="133" spans="16:30" x14ac:dyDescent="0.15">
      <c r="R133" s="66">
        <v>9</v>
      </c>
      <c r="S133" s="144"/>
      <c r="T133" s="139">
        <f>K46</f>
        <v>0.14999999999999858</v>
      </c>
      <c r="U133" s="68"/>
      <c r="V133" s="138">
        <f t="shared" si="1"/>
        <v>0.1449999999999991</v>
      </c>
      <c r="W133" s="150">
        <f t="shared" si="2"/>
        <v>0.37337499999999774</v>
      </c>
      <c r="Y133" s="144"/>
      <c r="Z133" s="139">
        <f>K45</f>
        <v>12.116666666666665</v>
      </c>
      <c r="AA133" s="68"/>
      <c r="AB133" s="139">
        <f t="shared" si="3"/>
        <v>12.09</v>
      </c>
      <c r="AC133" s="139">
        <f t="shared" si="4"/>
        <v>12.238334999999999</v>
      </c>
      <c r="AD133" s="162">
        <f t="shared" si="5"/>
        <v>11.941665</v>
      </c>
    </row>
    <row r="134" spans="16:30" x14ac:dyDescent="0.15">
      <c r="R134" s="66">
        <v>10</v>
      </c>
      <c r="S134" s="144"/>
      <c r="T134" s="139">
        <f>L46</f>
        <v>5.0000000000000711E-2</v>
      </c>
      <c r="U134" s="68"/>
      <c r="V134" s="138">
        <f t="shared" si="1"/>
        <v>0.1449999999999991</v>
      </c>
      <c r="W134" s="150">
        <f t="shared" si="2"/>
        <v>0.37337499999999774</v>
      </c>
      <c r="Y134" s="144"/>
      <c r="Z134" s="139">
        <f>L45</f>
        <v>12.016666666666666</v>
      </c>
      <c r="AA134" s="68"/>
      <c r="AB134" s="139">
        <f t="shared" si="3"/>
        <v>12.09</v>
      </c>
      <c r="AC134" s="139">
        <f t="shared" si="4"/>
        <v>12.238334999999999</v>
      </c>
      <c r="AD134" s="162">
        <f t="shared" si="5"/>
        <v>11.941665</v>
      </c>
    </row>
    <row r="135" spans="16:30" x14ac:dyDescent="0.15">
      <c r="R135" s="66">
        <v>1</v>
      </c>
      <c r="S135" s="144"/>
      <c r="T135" s="68"/>
      <c r="U135" s="139">
        <f>C52</f>
        <v>4.9999999999998934E-2</v>
      </c>
      <c r="V135" s="138">
        <f t="shared" si="1"/>
        <v>0.1449999999999991</v>
      </c>
      <c r="W135" s="150">
        <f t="shared" si="2"/>
        <v>0.37337499999999774</v>
      </c>
      <c r="Y135" s="144"/>
      <c r="Z135" s="68"/>
      <c r="AA135" s="139">
        <f>C51</f>
        <v>12.066666666666668</v>
      </c>
      <c r="AB135" s="139">
        <f t="shared" si="3"/>
        <v>12.09</v>
      </c>
      <c r="AC135" s="139">
        <f t="shared" si="4"/>
        <v>12.238334999999999</v>
      </c>
      <c r="AD135" s="162">
        <f t="shared" si="5"/>
        <v>11.941665</v>
      </c>
    </row>
    <row r="136" spans="16:30" x14ac:dyDescent="0.15">
      <c r="R136" s="66">
        <v>2</v>
      </c>
      <c r="S136" s="144"/>
      <c r="T136" s="68"/>
      <c r="U136" s="139">
        <f>D52</f>
        <v>0.14999999999999858</v>
      </c>
      <c r="V136" s="138">
        <f t="shared" si="1"/>
        <v>0.1449999999999991</v>
      </c>
      <c r="W136" s="150">
        <f t="shared" si="2"/>
        <v>0.37337499999999774</v>
      </c>
      <c r="Y136" s="144"/>
      <c r="Z136" s="68"/>
      <c r="AA136" s="139">
        <f>D51</f>
        <v>12.116666666666665</v>
      </c>
      <c r="AB136" s="139">
        <f t="shared" si="3"/>
        <v>12.09</v>
      </c>
      <c r="AC136" s="139">
        <f t="shared" si="4"/>
        <v>12.238334999999999</v>
      </c>
      <c r="AD136" s="162">
        <f t="shared" si="5"/>
        <v>11.941665</v>
      </c>
    </row>
    <row r="137" spans="16:30" x14ac:dyDescent="0.15">
      <c r="R137" s="66">
        <v>3</v>
      </c>
      <c r="S137" s="144"/>
      <c r="T137" s="68"/>
      <c r="U137" s="139">
        <f>E52</f>
        <v>0.14999999999999858</v>
      </c>
      <c r="V137" s="138">
        <f t="shared" si="1"/>
        <v>0.1449999999999991</v>
      </c>
      <c r="W137" s="150">
        <f t="shared" si="2"/>
        <v>0.37337499999999774</v>
      </c>
      <c r="Y137" s="144"/>
      <c r="Z137" s="68"/>
      <c r="AA137" s="139">
        <f>E51</f>
        <v>12.116666666666665</v>
      </c>
      <c r="AB137" s="139">
        <f t="shared" si="3"/>
        <v>12.09</v>
      </c>
      <c r="AC137" s="139">
        <f t="shared" si="4"/>
        <v>12.238334999999999</v>
      </c>
      <c r="AD137" s="162">
        <f t="shared" si="5"/>
        <v>11.941665</v>
      </c>
    </row>
    <row r="138" spans="16:30" x14ac:dyDescent="0.15">
      <c r="R138" s="66">
        <v>4</v>
      </c>
      <c r="S138" s="144"/>
      <c r="T138" s="68"/>
      <c r="U138" s="139">
        <f>F52</f>
        <v>5.0000000000000711E-2</v>
      </c>
      <c r="V138" s="138">
        <f t="shared" si="1"/>
        <v>0.1449999999999991</v>
      </c>
      <c r="W138" s="150">
        <f t="shared" si="2"/>
        <v>0.37337499999999774</v>
      </c>
      <c r="Y138" s="144"/>
      <c r="Z138" s="68"/>
      <c r="AA138" s="139">
        <f>F51</f>
        <v>12.016666666666666</v>
      </c>
      <c r="AB138" s="139">
        <f t="shared" si="3"/>
        <v>12.09</v>
      </c>
      <c r="AC138" s="139">
        <f t="shared" si="4"/>
        <v>12.238334999999999</v>
      </c>
      <c r="AD138" s="162">
        <f t="shared" si="5"/>
        <v>11.941665</v>
      </c>
    </row>
    <row r="139" spans="16:30" x14ac:dyDescent="0.15">
      <c r="R139" s="66">
        <v>5</v>
      </c>
      <c r="S139" s="144"/>
      <c r="T139" s="68"/>
      <c r="U139" s="139">
        <f>G52</f>
        <v>0.19999999999999929</v>
      </c>
      <c r="V139" s="138">
        <f t="shared" si="1"/>
        <v>0.1449999999999991</v>
      </c>
      <c r="W139" s="150">
        <f t="shared" si="2"/>
        <v>0.37337499999999774</v>
      </c>
      <c r="Y139" s="144"/>
      <c r="Z139" s="68"/>
      <c r="AA139" s="139">
        <f>G51</f>
        <v>12.1</v>
      </c>
      <c r="AB139" s="139">
        <f t="shared" si="3"/>
        <v>12.09</v>
      </c>
      <c r="AC139" s="139">
        <f t="shared" si="4"/>
        <v>12.238334999999999</v>
      </c>
      <c r="AD139" s="162">
        <f t="shared" si="5"/>
        <v>11.941665</v>
      </c>
    </row>
    <row r="140" spans="16:30" x14ac:dyDescent="0.15">
      <c r="R140" s="66">
        <v>6</v>
      </c>
      <c r="S140" s="144"/>
      <c r="T140" s="68"/>
      <c r="U140" s="139">
        <f>H52</f>
        <v>0.19999999999999929</v>
      </c>
      <c r="V140" s="138">
        <f t="shared" si="1"/>
        <v>0.1449999999999991</v>
      </c>
      <c r="W140" s="150">
        <f t="shared" si="2"/>
        <v>0.37337499999999774</v>
      </c>
      <c r="Y140" s="144"/>
      <c r="Z140" s="68"/>
      <c r="AA140" s="139">
        <f>H51</f>
        <v>12.066666666666668</v>
      </c>
      <c r="AB140" s="139">
        <f t="shared" si="3"/>
        <v>12.09</v>
      </c>
      <c r="AC140" s="139">
        <f t="shared" si="4"/>
        <v>12.238334999999999</v>
      </c>
      <c r="AD140" s="162">
        <f t="shared" si="5"/>
        <v>11.941665</v>
      </c>
    </row>
    <row r="141" spans="16:30" x14ac:dyDescent="0.15">
      <c r="R141" s="66">
        <v>7</v>
      </c>
      <c r="S141" s="144"/>
      <c r="T141" s="68"/>
      <c r="U141" s="139">
        <f>I52</f>
        <v>0.14999999999999858</v>
      </c>
      <c r="V141" s="138">
        <f t="shared" si="1"/>
        <v>0.1449999999999991</v>
      </c>
      <c r="W141" s="150">
        <f t="shared" si="2"/>
        <v>0.37337499999999774</v>
      </c>
      <c r="Y141" s="144"/>
      <c r="Z141" s="68"/>
      <c r="AA141" s="139">
        <f>I51</f>
        <v>12.116666666666665</v>
      </c>
      <c r="AB141" s="139">
        <f t="shared" si="3"/>
        <v>12.09</v>
      </c>
      <c r="AC141" s="139">
        <f t="shared" si="4"/>
        <v>12.238334999999999</v>
      </c>
      <c r="AD141" s="162">
        <f t="shared" si="5"/>
        <v>11.941665</v>
      </c>
    </row>
    <row r="142" spans="16:30" x14ac:dyDescent="0.15">
      <c r="P142" s="66" t="s">
        <v>18</v>
      </c>
      <c r="R142" s="66">
        <v>8</v>
      </c>
      <c r="S142" s="144"/>
      <c r="T142" s="68"/>
      <c r="U142" s="139">
        <f>J52</f>
        <v>9.9999999999999645E-2</v>
      </c>
      <c r="V142" s="138">
        <f t="shared" si="1"/>
        <v>0.1449999999999991</v>
      </c>
      <c r="W142" s="150">
        <f t="shared" si="2"/>
        <v>0.37337499999999774</v>
      </c>
      <c r="Y142" s="144"/>
      <c r="Z142" s="68"/>
      <c r="AA142" s="139">
        <f>J51</f>
        <v>12.050000000000002</v>
      </c>
      <c r="AB142" s="139">
        <f t="shared" si="3"/>
        <v>12.09</v>
      </c>
      <c r="AC142" s="139">
        <f t="shared" si="4"/>
        <v>12.238334999999999</v>
      </c>
      <c r="AD142" s="162">
        <f t="shared" si="5"/>
        <v>11.941665</v>
      </c>
    </row>
    <row r="143" spans="16:30" x14ac:dyDescent="0.15">
      <c r="R143" s="66">
        <v>9</v>
      </c>
      <c r="S143" s="144"/>
      <c r="T143" s="68"/>
      <c r="U143" s="139">
        <f>K52</f>
        <v>0.14999999999999858</v>
      </c>
      <c r="V143" s="138">
        <f t="shared" si="1"/>
        <v>0.1449999999999991</v>
      </c>
      <c r="W143" s="150">
        <f t="shared" si="2"/>
        <v>0.37337499999999774</v>
      </c>
      <c r="Y143" s="144"/>
      <c r="Z143" s="68"/>
      <c r="AA143" s="139">
        <f>K51</f>
        <v>12.116666666666665</v>
      </c>
      <c r="AB143" s="139">
        <f t="shared" si="3"/>
        <v>12.09</v>
      </c>
      <c r="AC143" s="139">
        <f t="shared" si="4"/>
        <v>12.238334999999999</v>
      </c>
      <c r="AD143" s="162">
        <f t="shared" si="5"/>
        <v>11.941665</v>
      </c>
    </row>
    <row r="144" spans="16:30" x14ac:dyDescent="0.15">
      <c r="R144" s="66">
        <v>10</v>
      </c>
      <c r="S144" s="163"/>
      <c r="T144" s="147"/>
      <c r="U144" s="164">
        <f>L52</f>
        <v>5.0000000000000711E-2</v>
      </c>
      <c r="V144" s="165">
        <f t="shared" si="1"/>
        <v>0.1449999999999991</v>
      </c>
      <c r="W144" s="166">
        <f t="shared" si="2"/>
        <v>0.37337499999999774</v>
      </c>
      <c r="Y144" s="163"/>
      <c r="Z144" s="147"/>
      <c r="AA144" s="164">
        <f>L51</f>
        <v>12.016666666666666</v>
      </c>
      <c r="AB144" s="164">
        <f t="shared" si="3"/>
        <v>12.09</v>
      </c>
      <c r="AC144" s="164">
        <f t="shared" si="4"/>
        <v>12.238334999999999</v>
      </c>
      <c r="AD144" s="167">
        <f t="shared" si="5"/>
        <v>11.941665</v>
      </c>
    </row>
  </sheetData>
  <mergeCells count="2">
    <mergeCell ref="M34:N34"/>
    <mergeCell ref="H59:L59"/>
  </mergeCells>
  <phoneticPr fontId="2" type="noConversion"/>
  <conditionalFormatting sqref="L81 L88 L94">
    <cfRule type="colorScale" priority="3">
      <colorScale>
        <cfvo type="num" val="30"/>
        <cfvo type="num" val="31"/>
        <color rgb="FF00B050"/>
        <color rgb="FFFF0000"/>
      </colorScale>
    </cfRule>
  </conditionalFormatting>
  <dataValidations count="2">
    <dataValidation type="whole" allowBlank="1" showInputMessage="1" showErrorMessage="1" errorTitle="Error" error="Enter &quot;2&quot; or &quot;3&quot; " promptTitle="Appraiser" prompt="Enter &quot;2&quot; or &quot;3&quot;" sqref="F28">
      <formula1>2</formula1>
      <formula2>3</formula2>
    </dataValidation>
    <dataValidation type="whole" allowBlank="1" showInputMessage="1" showErrorMessage="1" errorTitle="Error" error="Enter &quot;2&quot; or &quot;3&quot;" promptTitle="Trials" prompt="Enter &quot;2&quot; or &quot;3&quot;" sqref="F30">
      <formula1>2</formula1>
      <formula2>3</formula2>
    </dataValidation>
  </dataValidations>
  <printOptions horizontalCentered="1" verticalCentered="1"/>
  <pageMargins left="0" right="0" top="0" bottom="0" header="0" footer="0"/>
  <pageSetup paperSize="287" scale="76" orientation="landscape" r:id="rId1"/>
  <headerFooter scaleWithDoc="0" alignWithMargins="0"/>
  <rowBreaks count="3" manualBreakCount="3">
    <brk id="68" max="16383" man="1"/>
    <brk id="111" max="16383" man="1"/>
    <brk id="1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UnderTheHood</vt:lpstr>
      <vt:lpstr>GAGERR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Pythagorus</dc:creator>
  <cp:lastModifiedBy>Microsoft Office User</cp:lastModifiedBy>
  <cp:lastPrinted>2011-09-03T08:04:57Z</cp:lastPrinted>
  <dcterms:created xsi:type="dcterms:W3CDTF">1999-07-22T01:52:02Z</dcterms:created>
  <dcterms:modified xsi:type="dcterms:W3CDTF">2016-08-29T08:21:36Z</dcterms:modified>
</cp:coreProperties>
</file>